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fileSharing readOnlyRecommended="1"/>
  <workbookPr codeName="ThisWorkbook"/>
  <mc:AlternateContent xmlns:mc="http://schemas.openxmlformats.org/markup-compatibility/2006">
    <mc:Choice Requires="x15">
      <x15ac:absPath xmlns:x15ac="http://schemas.microsoft.com/office/spreadsheetml/2010/11/ac" url="https://cesltd2.sharepoint.com/sites/FutureGridET/Shared Documents/MD PSC - Grid Services Tariff and BCA (2025-2026)/Final Deliverables/"/>
    </mc:Choice>
  </mc:AlternateContent>
  <xr:revisionPtr revIDLastSave="0" documentId="8_{71180A95-48B8-4972-8805-5BFE0C166D2A}" xr6:coauthVersionLast="47" xr6:coauthVersionMax="47" xr10:uidLastSave="{00000000-0000-0000-0000-000000000000}"/>
  <workbookProtection workbookAlgorithmName="SHA-512" workbookHashValue="GStbGMktNHo+8HifCuheiZ7ZQj8mCx+kw/Fhzu45djp/p9V6/+mOoLPrEy4+TPz3Foj/nt7/WC2jEnVg02UgpQ==" workbookSaltValue="Dc6PnLR4JLici5wk4Wrxbw==" workbookSpinCount="100000" lockStructure="1"/>
  <bookViews>
    <workbookView xWindow="-28920" yWindow="630" windowWidth="29040" windowHeight="15720" xr2:uid="{00000000-000D-0000-FFFF-FFFF00000000}"/>
  </bookViews>
  <sheets>
    <sheet name="Cover" sheetId="56" r:id="rId1"/>
    <sheet name="Case Descriptions" sheetId="54" r:id="rId2"/>
    <sheet name="Benefits Summary" sheetId="48" r:id="rId3"/>
    <sheet name="Gap Calculator" sheetId="1" r:id="rId4"/>
    <sheet name="Dashboard" sheetId="49" r:id="rId5"/>
    <sheet name="Benefits" sheetId="17" r:id="rId6"/>
    <sheet name="Inputs" sheetId="15" r:id="rId7"/>
    <sheet name="Capacity Values" sheetId="18" r:id="rId8"/>
    <sheet name="Fin Inputs" sheetId="39" state="hidden" r:id="rId9"/>
    <sheet name="IRR" sheetId="40" state="hidden" r:id="rId10"/>
    <sheet name="Rev&amp;Exp" sheetId="41" state="hidden" r:id="rId11"/>
    <sheet name="Fin Statement" sheetId="42" state="hidden" r:id="rId12"/>
    <sheet name="Draws" sheetId="43" state="hidden" r:id="rId13"/>
    <sheet name="Dep-Tax-WC" sheetId="45" state="hidden" r:id="rId14"/>
    <sheet name="Debt" sheetId="44" state="hidden" r:id="rId15"/>
  </sheets>
  <externalReferences>
    <externalReference r:id="rId16"/>
    <externalReference r:id="rId17"/>
    <externalReference r:id="rId18"/>
  </externalReferences>
  <definedNames>
    <definedName name="__123Graph_A" hidden="1">'[1]All road-work file'!#REF!</definedName>
    <definedName name="__123Graph_X" hidden="1">'[1]All road-work file'!#REF!</definedName>
    <definedName name="_Fill" hidden="1">[2]IWWABST!#REF!</definedName>
    <definedName name="_xlnm._FilterDatabase" localSheetId="5" hidden="1">Benefits!$A$29:$AZ$629</definedName>
    <definedName name="_xlnm._FilterDatabase" localSheetId="7" hidden="1">'Capacity Values'!$A$83:$P$83</definedName>
    <definedName name="_xlnm._FilterDatabase" localSheetId="6" hidden="1">Inputs!$A$8:$BY$39</definedName>
    <definedName name="_Key1" hidden="1">#REF!</definedName>
    <definedName name="_Key2" hidden="1">#REF!</definedName>
    <definedName name="_MatMult_A" hidden="1">#REF!</definedName>
    <definedName name="_MatMult_AxB" hidden="1">#REF!</definedName>
    <definedName name="_MatMult_B" hidden="1">#REF!</definedName>
    <definedName name="_Order1" hidden="1">255</definedName>
    <definedName name="_Order2" hidden="1">255</definedName>
    <definedName name="_Regression_Int" hidden="1">1</definedName>
    <definedName name="_Sort" hidden="1">#REF!</definedName>
    <definedName name="_xleta.BASE" hidden="1" xlm="1">#NAME?</definedName>
    <definedName name="_xleta.CHOOSE" hidden="1" xlm="1">#NAME?</definedName>
    <definedName name="_xleta.IF" hidden="1" xlm="1">#NAME?</definedName>
    <definedName name="_xleta.INDEX" hidden="1" xlm="1">#NAME?</definedName>
    <definedName name="_xleta.YEAR" hidden="1" xlm="1">#NAME?</definedName>
    <definedName name="a" hidden="1">{"50.507178096408"}</definedName>
    <definedName name="anscount" hidden="1">13</definedName>
    <definedName name="availability">'Fin Inputs'!$F$21</definedName>
    <definedName name="durationHrs">'Fin Inputs'!$F$18</definedName>
    <definedName name="energRating">'Fin Inputs'!$F$19</definedName>
    <definedName name="ESSCap">'Gap Calculator'!$E$31</definedName>
    <definedName name="ESSITC">'Gap Calculator'!$E$71</definedName>
    <definedName name="GraphB" hidden="1">'[1]All road-work file'!#REF!</definedName>
    <definedName name="InputsMatrix">Inputs!$O$10:$BW$39</definedName>
    <definedName name="investmentTerm">'Fin Inputs'!$F$13</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ITC_IntercxnThreshold">'Gap Calculator'!$E$73</definedName>
    <definedName name="PeakDemandLosses">[3]UserInterface!$D$28</definedName>
    <definedName name="powerRating">'Fin Inputs'!$F$17</definedName>
    <definedName name="PPAPrice">'Fin Inputs'!$F$33</definedName>
    <definedName name="_xlnm.Print_Area" localSheetId="14">Debt!$A$2:$AE$31</definedName>
    <definedName name="_xlnm.Print_Area" localSheetId="13">'Dep-Tax-WC'!$A$2:$AH$91</definedName>
    <definedName name="_xlnm.Print_Area" localSheetId="12">Draws!$A$2:$AS$67</definedName>
    <definedName name="_xlnm.Print_Area" localSheetId="8">'Fin Inputs'!$A$1:$AE$55</definedName>
    <definedName name="_xlnm.Print_Area" localSheetId="11">'Fin Statement'!$A$2:$AE$96</definedName>
    <definedName name="_xlnm.Print_Area" localSheetId="9">IRR!$A$2:$AT$52</definedName>
    <definedName name="_xlnm.Print_Area" localSheetId="10">'Rev&amp;Exp'!$A$2:$AE$57</definedName>
    <definedName name="projectStartYear">'Gap Calculator'!$E$25</definedName>
    <definedName name="QualifiedCapacity">'Fin Inputs'!$F$29</definedName>
    <definedName name="RECapacityFactor">'Fin Inputs'!$F$29</definedName>
    <definedName name="REITC">'Gap Calculator'!$E$70</definedName>
    <definedName name="REPowerRating">'Fin Inputs'!$F$28</definedName>
    <definedName name="revenueMatrixNew">Benefits!$F$30:$AO$710</definedName>
    <definedName name="revenueSimulationID" localSheetId="5">"Case"</definedName>
    <definedName name="RevSummaryMat">Benefits!$F$7:$AO$27</definedName>
    <definedName name="roundTripEfficiency">85%</definedName>
    <definedName name="scen_name1" hidden="1">"NJCP New Jersey Assets Tariff"</definedName>
    <definedName name="scen_name2" hidden="1">"NJCC IRR"</definedName>
    <definedName name="scen_num" hidden="1">2</definedName>
    <definedName name="scen_user1" hidden="1">"Martin A Betancourt"</definedName>
    <definedName name="scen_user2" hidden="1">"Martin A Betancourt"</definedName>
    <definedName name="scen_value1" localSheetId="13" hidden="1">{"50.507178096408"}</definedName>
    <definedName name="scen_value1" localSheetId="12" hidden="1">{"50.507178096408"}</definedName>
    <definedName name="scen_value1" localSheetId="11" hidden="1">{"50.507178096408"}</definedName>
    <definedName name="scen_value1" localSheetId="9" hidden="1">{"50.507178096408"}</definedName>
    <definedName name="scen_value1" hidden="1">{"50.507178096408"}</definedName>
    <definedName name="scen_value2" localSheetId="13" hidden="1">{"48.5260986483797"}</definedName>
    <definedName name="scen_value2" localSheetId="12" hidden="1">{"48.5260986483797"}</definedName>
    <definedName name="scen_value2" localSheetId="11" hidden="1">{"48.5260986483797"}</definedName>
    <definedName name="scen_value2" localSheetId="9" hidden="1">{"48.5260986483797"}</definedName>
    <definedName name="scen_value2" hidden="1">{"48.5260986483797"}</definedName>
    <definedName name="solver_adj" localSheetId="3" hidden="1">'Gap Calculator'!$E$63</definedName>
    <definedName name="solver_cvg" localSheetId="3" hidden="1">0.0001</definedName>
    <definedName name="solver_cvg" hidden="1">0.0001</definedName>
    <definedName name="solver_drv" localSheetId="3" hidden="1">1</definedName>
    <definedName name="solver_drv" hidden="1">1</definedName>
    <definedName name="solver_eng" localSheetId="3" hidden="1">1</definedName>
    <definedName name="solver_est" localSheetId="3" hidden="1">1</definedName>
    <definedName name="solver_est" hidden="1">1</definedName>
    <definedName name="solver_itr" localSheetId="3" hidden="1">2147483647</definedName>
    <definedName name="solver_itr" hidden="1">100</definedName>
    <definedName name="solver_lhs1" localSheetId="3" hidden="1">'Gap Calculator'!$E$62</definedName>
    <definedName name="solver_lhs2" localSheetId="3" hidden="1">'Gap Calculator'!$E$63</definedName>
    <definedName name="solver_lin" hidden="1">2</definedName>
    <definedName name="solver_mip" localSheetId="3" hidden="1">2147483647</definedName>
    <definedName name="solver_mni" localSheetId="3" hidden="1">30</definedName>
    <definedName name="solver_mrt" localSheetId="3" hidden="1">0.075</definedName>
    <definedName name="solver_msl" localSheetId="3" hidden="1">2</definedName>
    <definedName name="solver_neg" localSheetId="3" hidden="1">1</definedName>
    <definedName name="solver_neg" hidden="1">2</definedName>
    <definedName name="solver_nod" localSheetId="3" hidden="1">2147483647</definedName>
    <definedName name="solver_num" localSheetId="3" hidden="1">2</definedName>
    <definedName name="solver_num" hidden="1">0</definedName>
    <definedName name="solver_nwt" localSheetId="3" hidden="1">1</definedName>
    <definedName name="solver_nwt" hidden="1">1</definedName>
    <definedName name="solver_opt" localSheetId="14" hidden="1">#REF!</definedName>
    <definedName name="solver_opt" localSheetId="12" hidden="1">#REF!</definedName>
    <definedName name="solver_opt" localSheetId="3" hidden="1">'Gap Calculator'!#REF!</definedName>
    <definedName name="solver_opt" localSheetId="9" hidden="1">#REF!</definedName>
    <definedName name="solver_opt" hidden="1">#REF!</definedName>
    <definedName name="Solver_opt1" hidden="1">#REF!</definedName>
    <definedName name="solver_opt3" hidden="1">#REF!</definedName>
    <definedName name="solver_pre" localSheetId="3" hidden="1">0.000001</definedName>
    <definedName name="solver_pre" hidden="1">0.000001</definedName>
    <definedName name="solver_rbv" localSheetId="3" hidden="1">1</definedName>
    <definedName name="solver_rel1" localSheetId="3" hidden="1">1</definedName>
    <definedName name="solver_rel2" localSheetId="3" hidden="1">1</definedName>
    <definedName name="solver_rhs1" localSheetId="3" hidden="1">0.0000001</definedName>
    <definedName name="solver_rhs2" localSheetId="3" hidden="1">1</definedName>
    <definedName name="solver_rlx" localSheetId="3" hidden="1">2</definedName>
    <definedName name="solver_rsd" localSheetId="3" hidden="1">0</definedName>
    <definedName name="solver_scl" localSheetId="3" hidden="1">1</definedName>
    <definedName name="solver_scl" hidden="1">2</definedName>
    <definedName name="solver_sho" localSheetId="3" hidden="1">2</definedName>
    <definedName name="solver_sho" hidden="1">2</definedName>
    <definedName name="solver_ssz" localSheetId="3" hidden="1">100</definedName>
    <definedName name="solver_tim" localSheetId="3" hidden="1">2147483647</definedName>
    <definedName name="solver_tim" hidden="1">100</definedName>
    <definedName name="solver_tol" localSheetId="3" hidden="1">0.01</definedName>
    <definedName name="solver_tol" hidden="1">0.05</definedName>
    <definedName name="solver_typ" localSheetId="3" hidden="1">3</definedName>
    <definedName name="solver_typ" hidden="1">3</definedName>
    <definedName name="solver_val" localSheetId="3" hidden="1">0.12</definedName>
    <definedName name="solver_val" hidden="1">16</definedName>
    <definedName name="solver_ver" localSheetId="3" hidden="1">3</definedName>
    <definedName name="StdConfigDesc">Inputs!$D$10:$D$39</definedName>
    <definedName name="STWBD_StatToolsRegression_blockList" hidden="1">"-1"</definedName>
    <definedName name="STWBD_StatToolsRegression_ConfidenceLevel" hidden="1">" .95"</definedName>
    <definedName name="STWBD_StatToolsRegression_FValueToEnter" hidden="1">" 2.2"</definedName>
    <definedName name="STWBD_StatToolsRegression_FValueToLeave" hidden="1">" 1.1"</definedName>
    <definedName name="STWBD_StatToolsRegression_GraphFittedValueVsActualYValue" hidden="1">"FALSE"</definedName>
    <definedName name="STWBD_StatToolsRegression_GraphFittedValueVsXValue" hidden="1">"FALSE"</definedName>
    <definedName name="STWBD_StatToolsRegression_GraphResidualVsFittedValue" hidden="1">"FALSE"</definedName>
    <definedName name="STWBD_StatToolsRegression_GraphResidualVsXValue" hidden="1">"FALSE"</definedName>
    <definedName name="STWBD_StatToolsRegression_HasDefaultInfo" hidden="1">"TRUE"</definedName>
    <definedName name="STWBD_StatToolsRegression_IncludePrediction" hidden="1">"FALSE"</definedName>
    <definedName name="STWBD_StatToolsRegression_IncludeSteps" hidden="1">"FALSE"</definedName>
    <definedName name="STWBD_StatToolsRegression_NumberOfBlocks" hidden="1">" 0"</definedName>
    <definedName name="STWBD_StatToolsRegression_pValueToEnter" hidden="1">" .05"</definedName>
    <definedName name="STWBD_StatToolsRegression_pValueToLeave" hidden="1">" .1"</definedName>
    <definedName name="STWBD_StatToolsRegression_RegressionType" hidden="1">" 0"</definedName>
    <definedName name="STWBD_StatToolsRegression_throughOrigin" hidden="1">"FALSE"</definedName>
    <definedName name="STWBD_StatToolsRegression_useFValue" hidden="1">"FALSE"</definedName>
    <definedName name="STWBD_StatToolsRegression_usePValue" hidden="1">"TRUE"</definedName>
    <definedName name="STWBD_StatToolsRegression_VariableDependent" hidden="1">"U_x0001_VG158D79A32C83760_x0001_"</definedName>
    <definedName name="STWBD_StatToolsRegression_VariableListIndependent" hidden="1">4</definedName>
    <definedName name="STWBD_StatToolsRegression_VariableListIndependent_1" hidden="1">"U_x0001_VG1F3F06A2D35A7AE_x0001_"</definedName>
    <definedName name="STWBD_StatToolsRegression_VariableListIndependent_2" hidden="1">"U_x0001_VG2DE17BDA35294448_x0001_"</definedName>
    <definedName name="STWBD_StatToolsRegression_VariableListIndependent_3" hidden="1">"U_x0001_VG2195F8134EFF4F_x0001_"</definedName>
    <definedName name="STWBD_StatToolsRegression_VariableListIndependent_4" hidden="1">"U_x0001_VG3A5A9551144A1F1B_x0001_"</definedName>
    <definedName name="STWBD_StatToolsRegression_VarSelectorDefaultDataSet" hidden="1">"DG181676D0"</definedName>
    <definedName name="totalCapitalCost">'Fin Inputs'!$M$47</definedName>
    <definedName name="varInputsDB">'Capacity Values'!#REF!</definedName>
    <definedName name="WACC">'Fin Inputs'!$AC$34</definedName>
    <definedName name="wrn.Impression._.FC1." localSheetId="12" hidden="1">{#N/A,#N/A,FALSE,"Summary";#N/A,#N/A,FALSE,"Assumptions";#N/A,#N/A,FALSE,"Initial Construction Budget";#N/A,#N/A,FALSE,"Sensitivity";#N/A,#N/A,FALSE,"Construction Phase";#N/A,#N/A,FALSE,"Rev. &amp; Costs - Cal. Yr";#N/A,#N/A,FALSE,"Cashflow Cal. Yr";#N/A,#N/A,FALSE,"P&amp;L+BS"}</definedName>
    <definedName name="wrn.Impression._.FC1." hidden="1">{#N/A,#N/A,FALSE,"Summary";#N/A,#N/A,FALSE,"Assumptions";#N/A,#N/A,FALSE,"Initial Construction Budget";#N/A,#N/A,FALSE,"Sensitivity";#N/A,#N/A,FALSE,"Construction Phase";#N/A,#N/A,FALSE,"Rev. &amp; Costs - Cal. Yr";#N/A,#N/A,FALSE,"Cashflow Cal. Yr";#N/A,#N/A,FALSE,"P&amp;L+BS"}</definedName>
    <definedName name="wrn.Impression._.globale." localSheetId="12" hidden="1">{#N/A,#N/A,TRUE,"Summary";#N/A,#N/A,TRUE,"Assumptions";#N/A,#N/A,TRUE,"Economic Assumptions";#N/A,#N/A,TRUE,"Technical Assumptions";#N/A,#N/A,TRUE,"Construction Phase";#N/A,#N/A,TRUE,"VAT";#N/A,#N/A,TRUE,"Rev. &amp; Costs ";#N/A,#N/A,TRUE,"Debt ";#N/A,#N/A,TRUE,"Tax ";#N/A,#N/A,TRUE,"P&amp;L+BS ";#N/A,#N/A,TRUE,"Cashflow"}</definedName>
    <definedName name="wrn.Impression._.globale." hidden="1">{#N/A,#N/A,TRUE,"Summary";#N/A,#N/A,TRUE,"Assumptions";#N/A,#N/A,TRUE,"Economic Assumptions";#N/A,#N/A,TRUE,"Technical Assumptions";#N/A,#N/A,TRUE,"Construction Phase";#N/A,#N/A,TRUE,"VAT";#N/A,#N/A,TRUE,"Rev. &amp; Costs ";#N/A,#N/A,TRUE,"Debt ";#N/A,#N/A,TRUE,"Tax ";#N/A,#N/A,TRUE,"P&amp;L+BS ";#N/A,#N/A,TRUE,"Cashflow"}</definedName>
    <definedName name="wrn.Summary." localSheetId="12" hidden="1">{#N/A,#N/A,FALSE,"Summary";#N/A,#N/A,FALSE,"Assumptions";#N/A,#N/A,FALSE,"Cashflow-Op. Y"}</definedName>
    <definedName name="wrn.Summary." hidden="1">{#N/A,#N/A,FALSE,"Summary";#N/A,#N/A,FALSE,"Assumptions";#N/A,#N/A,FALSE,"Cashflow-Op. Y"}</definedName>
    <definedName name="wrn.Transport." hidden="1">{#N/A,#N/A,FALSE,"9.1A";#N/A,#N/A,FALSE,"9.1B";#N/A,#N/A,FALSE,"9.2A";#N/A,#N/A,FALSE,"9.2B";#N/A,#N/A,FALSE,"9.2C";#N/A,#N/A,FALSE,"9.3A";#N/A,#N/A,FALSE,"9.3B";#N/A,#N/A,FALSE,"9.3C";#N/A,#N/A,FALSE,"9.4";#N/A,#N/A,FALSE,"9.5A";#N/A,#N/A,FALSE,"9.5B"}</definedName>
    <definedName name="wrn.Waste." hidden="1">{#N/A,#N/A,FALSE,"7.1A";#N/A,#N/A,FALSE,"7.1B";#N/A,#N/A,FALSE,"7.2A";#N/A,#N/A,FALSE,"7.2B";#N/A,#N/A,FALSE,"7.2C";#N/A,#N/A,FALSE,"7.3";#N/A,#N/A,FALSE,"7.4A";#N/A,#N/A,FALSE,"7.4B";#N/A,#N/A,FALSE,"7.5";#N/A,#N/A,FALSE,"7.6"}</definedName>
    <definedName name="WRP">[3]UserInterface!$D$26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3" i="15" l="1"/>
  <c r="I690" i="17"/>
  <c r="X25" i="49"/>
  <c r="F5" i="17"/>
  <c r="AX11" i="15" l="1"/>
  <c r="E48" i="1"/>
  <c r="I62" i="1" l="1"/>
  <c r="AQ26" i="15"/>
  <c r="AR26" i="15" s="1"/>
  <c r="AQ21" i="15"/>
  <c r="G671" i="17"/>
  <c r="H671" i="17" s="1"/>
  <c r="I671" i="17" s="1"/>
  <c r="J671" i="17" s="1"/>
  <c r="K671" i="17" s="1"/>
  <c r="L671" i="17" s="1"/>
  <c r="M671" i="17" s="1"/>
  <c r="N671" i="17" s="1"/>
  <c r="O671" i="17" s="1"/>
  <c r="P671" i="17" s="1"/>
  <c r="Q671" i="17" s="1"/>
  <c r="R671" i="17" s="1"/>
  <c r="S671" i="17" s="1"/>
  <c r="T671" i="17" s="1"/>
  <c r="U671" i="17" s="1"/>
  <c r="V671" i="17" s="1"/>
  <c r="W671" i="17" s="1"/>
  <c r="X671" i="17" s="1"/>
  <c r="Y671" i="17" s="1"/>
  <c r="Z671" i="17" s="1"/>
  <c r="AA671" i="17" s="1"/>
  <c r="AB671" i="17" s="1"/>
  <c r="AC671" i="17" s="1"/>
  <c r="AD671" i="17" s="1"/>
  <c r="AE671" i="17" s="1"/>
  <c r="AF671" i="17" s="1"/>
  <c r="AG671" i="17" s="1"/>
  <c r="AH671" i="17" s="1"/>
  <c r="AI671" i="17" s="1"/>
  <c r="AJ671" i="17" s="1"/>
  <c r="AK671" i="17" s="1"/>
  <c r="AL671" i="17" s="1"/>
  <c r="AM671" i="17" s="1"/>
  <c r="AN671" i="17" s="1"/>
  <c r="AO671" i="17" s="1"/>
  <c r="D27" i="18" l="1"/>
  <c r="E27" i="18"/>
  <c r="F27" i="18"/>
  <c r="G27" i="18"/>
  <c r="H27" i="18"/>
  <c r="I27" i="18"/>
  <c r="J27" i="18"/>
  <c r="K27" i="18"/>
  <c r="L27" i="18"/>
  <c r="M27" i="18"/>
  <c r="N27" i="18"/>
  <c r="O27" i="18"/>
  <c r="P27" i="18"/>
  <c r="Q27" i="18"/>
  <c r="R27" i="18"/>
  <c r="S27" i="18"/>
  <c r="T27" i="18"/>
  <c r="U27" i="18"/>
  <c r="V27" i="18"/>
  <c r="W27" i="18"/>
  <c r="AB392" i="17" s="1"/>
  <c r="D29" i="18"/>
  <c r="E29" i="18"/>
  <c r="F29" i="18"/>
  <c r="G29" i="18"/>
  <c r="H29" i="18"/>
  <c r="I29" i="18"/>
  <c r="J29" i="18"/>
  <c r="K29" i="18"/>
  <c r="L29" i="18"/>
  <c r="M29" i="18"/>
  <c r="N29" i="18"/>
  <c r="O29" i="18"/>
  <c r="P29" i="18"/>
  <c r="Q29" i="18"/>
  <c r="R29" i="18"/>
  <c r="S29" i="18"/>
  <c r="T29" i="18"/>
  <c r="U29" i="18"/>
  <c r="V29" i="18"/>
  <c r="W29" i="18"/>
  <c r="AB472" i="17" s="1"/>
  <c r="C29" i="18"/>
  <c r="C27" i="18"/>
  <c r="W15" i="18" l="1"/>
  <c r="W28" i="18" l="1"/>
  <c r="AB432" i="17" s="1"/>
  <c r="W26" i="18"/>
  <c r="AB352" i="17" s="1"/>
  <c r="X31" i="49"/>
  <c r="X28" i="49"/>
  <c r="X29" i="49"/>
  <c r="X30" i="49"/>
  <c r="X27" i="49"/>
  <c r="G12" i="40" l="1"/>
  <c r="I472" i="17" l="1"/>
  <c r="K472" i="17"/>
  <c r="L472" i="17"/>
  <c r="M472" i="17"/>
  <c r="N472" i="17"/>
  <c r="O472" i="17"/>
  <c r="P472" i="17"/>
  <c r="Q472" i="17"/>
  <c r="J392" i="17"/>
  <c r="L392" i="17"/>
  <c r="O392" i="17"/>
  <c r="J472" i="17"/>
  <c r="I392" i="17"/>
  <c r="K392" i="17"/>
  <c r="M392" i="17"/>
  <c r="N392" i="17"/>
  <c r="P392" i="17"/>
  <c r="Q392" i="17"/>
  <c r="BD11" i="15"/>
  <c r="BD12" i="15"/>
  <c r="BD13" i="15"/>
  <c r="BD14" i="15"/>
  <c r="BL14" i="15" s="1"/>
  <c r="BD15" i="15"/>
  <c r="BL15" i="15" s="1"/>
  <c r="BD16" i="15"/>
  <c r="BL16" i="15" s="1"/>
  <c r="BD17" i="15"/>
  <c r="BD18" i="15"/>
  <c r="BD19" i="15"/>
  <c r="BD20" i="15"/>
  <c r="BD21" i="15"/>
  <c r="BD22" i="15"/>
  <c r="BD23" i="15"/>
  <c r="BD24" i="15"/>
  <c r="BL24" i="15" s="1"/>
  <c r="BD25" i="15"/>
  <c r="BL25" i="15" s="1"/>
  <c r="BD10" i="15"/>
  <c r="BL10" i="15" s="1"/>
  <c r="AL30" i="1"/>
  <c r="AM30" i="1"/>
  <c r="AN30" i="1"/>
  <c r="AO30" i="1"/>
  <c r="AP30" i="1"/>
  <c r="AQ30" i="1"/>
  <c r="AR30" i="1"/>
  <c r="AS30" i="1"/>
  <c r="AT30" i="1"/>
  <c r="AU30" i="1"/>
  <c r="AV30" i="1"/>
  <c r="AW30" i="1"/>
  <c r="AX30" i="1"/>
  <c r="AY30" i="1"/>
  <c r="AZ30" i="1"/>
  <c r="L30" i="1"/>
  <c r="E34" i="42"/>
  <c r="AL26" i="1"/>
  <c r="AM26" i="1"/>
  <c r="AN26" i="1"/>
  <c r="AO26" i="1"/>
  <c r="AP26" i="1"/>
  <c r="AQ26" i="1"/>
  <c r="AR26" i="1"/>
  <c r="AS26" i="1"/>
  <c r="AT26" i="1"/>
  <c r="AU26" i="1"/>
  <c r="AV26" i="1"/>
  <c r="AW26" i="1"/>
  <c r="AX26" i="1"/>
  <c r="AY26" i="1"/>
  <c r="AZ26" i="1"/>
  <c r="L29" i="1"/>
  <c r="AL28" i="1"/>
  <c r="AM28" i="1"/>
  <c r="AN28" i="1"/>
  <c r="AO28" i="1"/>
  <c r="AP28" i="1"/>
  <c r="AQ28" i="1"/>
  <c r="AR28" i="1"/>
  <c r="AS28" i="1"/>
  <c r="AT28" i="1"/>
  <c r="AU28" i="1"/>
  <c r="AV28" i="1"/>
  <c r="AW28" i="1"/>
  <c r="AX28" i="1"/>
  <c r="AY28" i="1"/>
  <c r="AZ28" i="1"/>
  <c r="L28" i="1"/>
  <c r="AL27" i="1"/>
  <c r="AM27" i="1"/>
  <c r="AN27" i="1"/>
  <c r="AO27" i="1"/>
  <c r="AP27" i="1"/>
  <c r="AQ27" i="1"/>
  <c r="AR27" i="1"/>
  <c r="AS27" i="1"/>
  <c r="AT27" i="1"/>
  <c r="AU27" i="1"/>
  <c r="AV27" i="1"/>
  <c r="AW27" i="1"/>
  <c r="AX27" i="1"/>
  <c r="AY27" i="1"/>
  <c r="AZ27" i="1"/>
  <c r="L27" i="1"/>
  <c r="L39" i="1"/>
  <c r="M39" i="1"/>
  <c r="N39" i="1"/>
  <c r="O39" i="1"/>
  <c r="P39" i="1"/>
  <c r="Q39" i="1"/>
  <c r="R39" i="1"/>
  <c r="S39" i="1"/>
  <c r="T39" i="1"/>
  <c r="U39" i="1"/>
  <c r="V39" i="1"/>
  <c r="W39" i="1"/>
  <c r="X39" i="1"/>
  <c r="Y39" i="1"/>
  <c r="Z39" i="1"/>
  <c r="AA39" i="1"/>
  <c r="AB39" i="1"/>
  <c r="AC39" i="1"/>
  <c r="AD39" i="1"/>
  <c r="AE39" i="1"/>
  <c r="AF39" i="1"/>
  <c r="AG39" i="1"/>
  <c r="AH39" i="1"/>
  <c r="AI39" i="1"/>
  <c r="AJ39" i="1"/>
  <c r="AK39" i="1"/>
  <c r="AL39" i="1"/>
  <c r="AM39" i="1"/>
  <c r="AN39" i="1"/>
  <c r="AO39" i="1"/>
  <c r="AP39" i="1"/>
  <c r="AQ39" i="1"/>
  <c r="AR39" i="1"/>
  <c r="AS39" i="1"/>
  <c r="AT39" i="1"/>
  <c r="AU39" i="1"/>
  <c r="AV39" i="1"/>
  <c r="AW39" i="1"/>
  <c r="AX39" i="1"/>
  <c r="AY39" i="1"/>
  <c r="AZ39" i="1"/>
  <c r="I40" i="1"/>
  <c r="BK11" i="15"/>
  <c r="BK12" i="15"/>
  <c r="BK13" i="15"/>
  <c r="BK14" i="15"/>
  <c r="BK15" i="15"/>
  <c r="BK16" i="15"/>
  <c r="BK17" i="15"/>
  <c r="BK18" i="15"/>
  <c r="BK19" i="15"/>
  <c r="BK20" i="15"/>
  <c r="BK21" i="15"/>
  <c r="BK22" i="15"/>
  <c r="BK23" i="15"/>
  <c r="BK24" i="15"/>
  <c r="BK25" i="15"/>
  <c r="BK10" i="15"/>
  <c r="E73" i="1"/>
  <c r="AC46" i="39" s="1"/>
  <c r="E72" i="1"/>
  <c r="E30" i="17"/>
  <c r="BL23" i="15" l="1"/>
  <c r="BL12" i="15"/>
  <c r="BL20" i="15"/>
  <c r="BL11" i="15"/>
  <c r="BL19" i="15"/>
  <c r="BL18" i="15"/>
  <c r="BL13" i="15"/>
  <c r="BL22" i="15"/>
  <c r="BL21" i="15"/>
  <c r="BL17" i="15"/>
  <c r="AQ11" i="15"/>
  <c r="AR11" i="15" s="1"/>
  <c r="BE11" i="15" s="1"/>
  <c r="AQ12" i="15"/>
  <c r="AR12" i="15" s="1"/>
  <c r="BE12" i="15" s="1"/>
  <c r="AQ13" i="15"/>
  <c r="AR13" i="15" s="1"/>
  <c r="AQ14" i="15"/>
  <c r="AR14" i="15" s="1"/>
  <c r="AQ15" i="15"/>
  <c r="AR15" i="15" s="1"/>
  <c r="AQ16" i="15"/>
  <c r="AR16" i="15" s="1"/>
  <c r="AQ17" i="15"/>
  <c r="AR17" i="15" s="1"/>
  <c r="AQ18" i="15"/>
  <c r="AR18" i="15" s="1"/>
  <c r="AQ19" i="15"/>
  <c r="AR19" i="15" s="1"/>
  <c r="AQ20" i="15"/>
  <c r="AR20" i="15" s="1"/>
  <c r="AR21" i="15"/>
  <c r="AQ22" i="15"/>
  <c r="AR22" i="15" s="1"/>
  <c r="AQ23" i="15"/>
  <c r="AQ24" i="15"/>
  <c r="AR24" i="15" s="1"/>
  <c r="AQ25" i="15"/>
  <c r="AR25" i="15" s="1"/>
  <c r="AQ10" i="15"/>
  <c r="AR10" i="15" s="1"/>
  <c r="AX12" i="15"/>
  <c r="AX13" i="15"/>
  <c r="AX14" i="15"/>
  <c r="AX16" i="15"/>
  <c r="AX17" i="15"/>
  <c r="AX18" i="15"/>
  <c r="AX19" i="15"/>
  <c r="AX20" i="15"/>
  <c r="AX21" i="15"/>
  <c r="AX22" i="15"/>
  <c r="AX23" i="15"/>
  <c r="AX24" i="15"/>
  <c r="AX25" i="15"/>
  <c r="AX10" i="15"/>
  <c r="AR23" i="15"/>
  <c r="E43" i="1"/>
  <c r="E42" i="1"/>
  <c r="D10" i="41"/>
  <c r="D11" i="41"/>
  <c r="D12" i="41"/>
  <c r="D13" i="41"/>
  <c r="D14" i="41"/>
  <c r="D15" i="41"/>
  <c r="D16" i="41"/>
  <c r="D17" i="41"/>
  <c r="D18" i="41"/>
  <c r="D19" i="41"/>
  <c r="D20" i="41"/>
  <c r="D21" i="41"/>
  <c r="D22" i="41"/>
  <c r="D23" i="41"/>
  <c r="D24" i="41"/>
  <c r="D25" i="41"/>
  <c r="D26" i="41"/>
  <c r="D27" i="41"/>
  <c r="BF12" i="15" l="1"/>
  <c r="BE25" i="15"/>
  <c r="BF11" i="15"/>
  <c r="BF13" i="15"/>
  <c r="BF14" i="15"/>
  <c r="BF15" i="15"/>
  <c r="BF16" i="15"/>
  <c r="BF17" i="15"/>
  <c r="BF18" i="15"/>
  <c r="BF19" i="15"/>
  <c r="BF20" i="15"/>
  <c r="BF21" i="15"/>
  <c r="BF22" i="15"/>
  <c r="BF23" i="15"/>
  <c r="BF24" i="15"/>
  <c r="BF25" i="15"/>
  <c r="BE13" i="15"/>
  <c r="BE14" i="15"/>
  <c r="BE15" i="15"/>
  <c r="BE16" i="15"/>
  <c r="BE17" i="15"/>
  <c r="BE18" i="15"/>
  <c r="BE19" i="15"/>
  <c r="BE20" i="15"/>
  <c r="BE21" i="15"/>
  <c r="BE22" i="15"/>
  <c r="BE23" i="15"/>
  <c r="BE24" i="15"/>
  <c r="BF10" i="15"/>
  <c r="BE10" i="15"/>
  <c r="AX15" i="15"/>
  <c r="E49" i="1"/>
  <c r="M31" i="39"/>
  <c r="H11" i="45" s="1"/>
  <c r="M20" i="39"/>
  <c r="R472" i="17" l="1"/>
  <c r="R392" i="17"/>
  <c r="AA28" i="49"/>
  <c r="AA29" i="49"/>
  <c r="AA30" i="49"/>
  <c r="AA31" i="49"/>
  <c r="AA27" i="49"/>
  <c r="S472" i="17" l="1"/>
  <c r="S392" i="17"/>
  <c r="T392" i="17" l="1"/>
  <c r="T472" i="17"/>
  <c r="X3" i="49"/>
  <c r="L63" i="1"/>
  <c r="E50" i="17"/>
  <c r="U392" i="17" l="1"/>
  <c r="U472" i="17"/>
  <c r="X50" i="49"/>
  <c r="X23" i="49"/>
  <c r="V19" i="15"/>
  <c r="V472" i="17" l="1"/>
  <c r="V392" i="17"/>
  <c r="W392" i="17" l="1"/>
  <c r="W472" i="17"/>
  <c r="X392" i="17" l="1"/>
  <c r="X472" i="17"/>
  <c r="E90" i="17"/>
  <c r="E130" i="17" s="1"/>
  <c r="E38" i="1"/>
  <c r="AL65" i="1"/>
  <c r="AM65" i="1"/>
  <c r="AN65" i="1"/>
  <c r="AO65" i="1"/>
  <c r="AP65" i="1"/>
  <c r="AQ65" i="1"/>
  <c r="AR65" i="1"/>
  <c r="AS65" i="1"/>
  <c r="AT65" i="1"/>
  <c r="AU65" i="1"/>
  <c r="AV65" i="1"/>
  <c r="AW65" i="1"/>
  <c r="AX65" i="1"/>
  <c r="AY65" i="1"/>
  <c r="AZ65" i="1"/>
  <c r="AL29" i="1"/>
  <c r="AM29" i="1"/>
  <c r="AN29" i="1"/>
  <c r="AO29" i="1"/>
  <c r="AP29" i="1"/>
  <c r="AQ29" i="1"/>
  <c r="AR29" i="1"/>
  <c r="AS29" i="1"/>
  <c r="AT29" i="1"/>
  <c r="AU29" i="1"/>
  <c r="AV29" i="1"/>
  <c r="AW29" i="1"/>
  <c r="AX29" i="1"/>
  <c r="AY29" i="1"/>
  <c r="AZ29" i="1"/>
  <c r="I55" i="1"/>
  <c r="E44" i="17"/>
  <c r="E84" i="17" s="1"/>
  <c r="E45" i="17"/>
  <c r="E85" i="17" s="1"/>
  <c r="E46" i="17"/>
  <c r="E86" i="17" s="1"/>
  <c r="E47" i="17"/>
  <c r="E87" i="17" s="1"/>
  <c r="E48" i="17"/>
  <c r="E88" i="17" s="1"/>
  <c r="E49" i="17"/>
  <c r="E89" i="17" s="1"/>
  <c r="E43" i="17"/>
  <c r="E83" i="17" s="1"/>
  <c r="E50" i="1"/>
  <c r="E40" i="1"/>
  <c r="E29" i="1"/>
  <c r="E28" i="1"/>
  <c r="I7" i="1" l="1"/>
  <c r="Y472" i="17"/>
  <c r="Y392" i="17"/>
  <c r="X43" i="49"/>
  <c r="X16" i="49"/>
  <c r="T13" i="15"/>
  <c r="T12" i="15"/>
  <c r="T11" i="15"/>
  <c r="I90" i="17" s="1"/>
  <c r="T10" i="15"/>
  <c r="I50" i="17" s="1"/>
  <c r="C3" i="15"/>
  <c r="D3" i="15" s="1"/>
  <c r="E3" i="15" s="1"/>
  <c r="F3" i="15" s="1"/>
  <c r="G3" i="15" s="1"/>
  <c r="H3" i="15" s="1"/>
  <c r="I3" i="15" s="1"/>
  <c r="J3" i="15" s="1"/>
  <c r="K3" i="15" s="1"/>
  <c r="L3" i="15" s="1"/>
  <c r="M3" i="15" s="1"/>
  <c r="N3" i="15" s="1"/>
  <c r="O3" i="15" s="1"/>
  <c r="P3" i="15" s="1"/>
  <c r="Q3" i="15" s="1"/>
  <c r="R3" i="15" s="1"/>
  <c r="S3" i="15" s="1"/>
  <c r="T3" i="15" s="1"/>
  <c r="U3" i="15" s="1"/>
  <c r="V3" i="15" s="1"/>
  <c r="W3" i="15" s="1"/>
  <c r="X3" i="15" s="1"/>
  <c r="Y3" i="15" s="1"/>
  <c r="Z3" i="15" s="1"/>
  <c r="AA3" i="15" s="1"/>
  <c r="AB3" i="15" s="1"/>
  <c r="AC3" i="15" s="1"/>
  <c r="C4" i="15"/>
  <c r="D4" i="15" s="1"/>
  <c r="E4" i="15" s="1"/>
  <c r="F4" i="15" s="1"/>
  <c r="G4" i="15" s="1"/>
  <c r="H4" i="15" s="1"/>
  <c r="I4" i="15" s="1"/>
  <c r="J4" i="15" s="1"/>
  <c r="K4" i="15" s="1"/>
  <c r="L4" i="15" s="1"/>
  <c r="M4" i="15" s="1"/>
  <c r="N4" i="15" s="1"/>
  <c r="O4" i="15" s="1"/>
  <c r="P4" i="15" s="1"/>
  <c r="Q4" i="15" s="1"/>
  <c r="R4" i="15" s="1"/>
  <c r="S4" i="15" s="1"/>
  <c r="T4" i="15" s="1"/>
  <c r="C15" i="18"/>
  <c r="C26" i="18" s="1"/>
  <c r="D15" i="18"/>
  <c r="E15" i="18"/>
  <c r="F15" i="18"/>
  <c r="G15" i="18"/>
  <c r="H15" i="18"/>
  <c r="I15" i="18"/>
  <c r="J15" i="18"/>
  <c r="K15" i="18"/>
  <c r="L15" i="18"/>
  <c r="M15" i="18"/>
  <c r="N15" i="18"/>
  <c r="O15" i="18"/>
  <c r="P15" i="18"/>
  <c r="Q15" i="18"/>
  <c r="R15" i="18"/>
  <c r="S15" i="18"/>
  <c r="T15" i="18"/>
  <c r="U15" i="18"/>
  <c r="V15" i="18"/>
  <c r="V26" i="18" l="1"/>
  <c r="V28" i="18"/>
  <c r="L28" i="18"/>
  <c r="Q432" i="17" s="1"/>
  <c r="L26" i="18"/>
  <c r="Q352" i="17" s="1"/>
  <c r="U28" i="18"/>
  <c r="Z432" i="17" s="1"/>
  <c r="U26" i="18"/>
  <c r="Z352" i="17" s="1"/>
  <c r="K26" i="18"/>
  <c r="P352" i="17" s="1"/>
  <c r="K28" i="18"/>
  <c r="P432" i="17" s="1"/>
  <c r="T26" i="18"/>
  <c r="Y352" i="17" s="1"/>
  <c r="T28" i="18"/>
  <c r="Y432" i="17" s="1"/>
  <c r="J26" i="18"/>
  <c r="J28" i="18"/>
  <c r="O432" i="17" s="1"/>
  <c r="S28" i="18"/>
  <c r="X432" i="17" s="1"/>
  <c r="S26" i="18"/>
  <c r="X352" i="17" s="1"/>
  <c r="I26" i="18"/>
  <c r="N352" i="17" s="1"/>
  <c r="I28" i="18"/>
  <c r="N432" i="17" s="1"/>
  <c r="R26" i="18"/>
  <c r="W352" i="17" s="1"/>
  <c r="R28" i="18"/>
  <c r="W432" i="17" s="1"/>
  <c r="H26" i="18"/>
  <c r="M352" i="17" s="1"/>
  <c r="H28" i="18"/>
  <c r="M432" i="17" s="1"/>
  <c r="Q26" i="18"/>
  <c r="V352" i="17" s="1"/>
  <c r="Q28" i="18"/>
  <c r="V432" i="17" s="1"/>
  <c r="G28" i="18"/>
  <c r="L432" i="17" s="1"/>
  <c r="G26" i="18"/>
  <c r="L352" i="17" s="1"/>
  <c r="P26" i="18"/>
  <c r="P28" i="18"/>
  <c r="U432" i="17" s="1"/>
  <c r="F28" i="18"/>
  <c r="K432" i="17" s="1"/>
  <c r="F26" i="18"/>
  <c r="K352" i="17" s="1"/>
  <c r="O26" i="18"/>
  <c r="T352" i="17" s="1"/>
  <c r="O28" i="18"/>
  <c r="T432" i="17" s="1"/>
  <c r="E26" i="18"/>
  <c r="E28" i="18"/>
  <c r="N26" i="18"/>
  <c r="S352" i="17" s="1"/>
  <c r="N28" i="18"/>
  <c r="S432" i="17" s="1"/>
  <c r="D26" i="18"/>
  <c r="I352" i="17" s="1"/>
  <c r="D28" i="18"/>
  <c r="I432" i="17" s="1"/>
  <c r="M26" i="18"/>
  <c r="R352" i="17" s="1"/>
  <c r="M28" i="18"/>
  <c r="R432" i="17" s="1"/>
  <c r="C28" i="18"/>
  <c r="Z392" i="17"/>
  <c r="Z472" i="17"/>
  <c r="J352" i="17"/>
  <c r="J432" i="17"/>
  <c r="O352" i="17"/>
  <c r="U352" i="17"/>
  <c r="U4" i="15"/>
  <c r="V4" i="15" s="1"/>
  <c r="W4" i="15" s="1"/>
  <c r="X4" i="15" s="1"/>
  <c r="Y4" i="15" s="1"/>
  <c r="Z4" i="15" s="1"/>
  <c r="AA4" i="15" s="1"/>
  <c r="AB4" i="15" s="1"/>
  <c r="AC4" i="15" s="1"/>
  <c r="E31" i="1"/>
  <c r="F17" i="39" s="1"/>
  <c r="AA432" i="17" l="1"/>
  <c r="AA352" i="17"/>
  <c r="AA392" i="17"/>
  <c r="AA472" i="17"/>
  <c r="AC34" i="17"/>
  <c r="AD34" i="17" s="1"/>
  <c r="AE34" i="17" s="1"/>
  <c r="AF34" i="17" s="1"/>
  <c r="AG34" i="17" s="1"/>
  <c r="AH34" i="17" s="1"/>
  <c r="AI34" i="17" s="1"/>
  <c r="AJ34" i="17" s="1"/>
  <c r="AK34" i="17" s="1"/>
  <c r="AL34" i="17" s="1"/>
  <c r="AM34" i="17" s="1"/>
  <c r="AN34" i="17" s="1"/>
  <c r="AO34" i="17" s="1"/>
  <c r="AC36" i="17"/>
  <c r="AD36" i="17" s="1"/>
  <c r="AE36" i="17" s="1"/>
  <c r="AF36" i="17" s="1"/>
  <c r="AG36" i="17" s="1"/>
  <c r="AH36" i="17" s="1"/>
  <c r="AI36" i="17" s="1"/>
  <c r="AJ36" i="17" s="1"/>
  <c r="AK36" i="17" s="1"/>
  <c r="AL36" i="17" s="1"/>
  <c r="AM36" i="17" s="1"/>
  <c r="AN36" i="17" s="1"/>
  <c r="AO36" i="17" s="1"/>
  <c r="AC35" i="17"/>
  <c r="AD35" i="17" s="1"/>
  <c r="AE35" i="17" s="1"/>
  <c r="AF35" i="17" s="1"/>
  <c r="AG35" i="17" s="1"/>
  <c r="AH35" i="17" s="1"/>
  <c r="AI35" i="17" s="1"/>
  <c r="AJ35" i="17" s="1"/>
  <c r="AK35" i="17" s="1"/>
  <c r="AL35" i="17" s="1"/>
  <c r="AM35" i="17" s="1"/>
  <c r="AN35" i="17" s="1"/>
  <c r="AO35" i="17" s="1"/>
  <c r="AC37" i="17"/>
  <c r="AD37" i="17" s="1"/>
  <c r="AE37" i="17" s="1"/>
  <c r="AF37" i="17" s="1"/>
  <c r="AG37" i="17" s="1"/>
  <c r="AH37" i="17" s="1"/>
  <c r="AI37" i="17" s="1"/>
  <c r="AJ37" i="17" s="1"/>
  <c r="AK37" i="17" s="1"/>
  <c r="AL37" i="17" s="1"/>
  <c r="AM37" i="17" s="1"/>
  <c r="AN37" i="17" s="1"/>
  <c r="AO37" i="17" s="1"/>
  <c r="AC38" i="17"/>
  <c r="AD38" i="17" s="1"/>
  <c r="AE38" i="17" s="1"/>
  <c r="AF38" i="17" s="1"/>
  <c r="AG38" i="17" s="1"/>
  <c r="AH38" i="17" s="1"/>
  <c r="AI38" i="17" s="1"/>
  <c r="AJ38" i="17" s="1"/>
  <c r="AK38" i="17" s="1"/>
  <c r="AL38" i="17" s="1"/>
  <c r="AM38" i="17" s="1"/>
  <c r="AN38" i="17" s="1"/>
  <c r="AO38" i="17" s="1"/>
  <c r="AC39" i="17"/>
  <c r="AD39" i="17" s="1"/>
  <c r="AE39" i="17" s="1"/>
  <c r="AF39" i="17" s="1"/>
  <c r="AG39" i="17" s="1"/>
  <c r="AH39" i="17" s="1"/>
  <c r="AI39" i="17" s="1"/>
  <c r="AJ39" i="17" s="1"/>
  <c r="AK39" i="17" s="1"/>
  <c r="AL39" i="17" s="1"/>
  <c r="AM39" i="17" s="1"/>
  <c r="AN39" i="17" s="1"/>
  <c r="AO39" i="17" s="1"/>
  <c r="AC40" i="17"/>
  <c r="AD40" i="17" s="1"/>
  <c r="AE40" i="17" s="1"/>
  <c r="AF40" i="17" s="1"/>
  <c r="AG40" i="17" s="1"/>
  <c r="AH40" i="17" s="1"/>
  <c r="AI40" i="17" s="1"/>
  <c r="AJ40" i="17" s="1"/>
  <c r="AK40" i="17" s="1"/>
  <c r="AL40" i="17" s="1"/>
  <c r="AM40" i="17" s="1"/>
  <c r="AN40" i="17" s="1"/>
  <c r="AO40" i="17" s="1"/>
  <c r="I45" i="1" l="1"/>
  <c r="I46" i="1"/>
  <c r="I47" i="1"/>
  <c r="I48" i="1"/>
  <c r="I49" i="1"/>
  <c r="I50" i="1"/>
  <c r="I51" i="1"/>
  <c r="I52" i="1"/>
  <c r="I53" i="1"/>
  <c r="I54" i="1"/>
  <c r="I56" i="1"/>
  <c r="I57" i="1"/>
  <c r="I58" i="1"/>
  <c r="I59" i="1"/>
  <c r="I60" i="1"/>
  <c r="I61" i="1"/>
  <c r="AC33" i="39"/>
  <c r="X33" i="49" l="1"/>
  <c r="X6" i="49"/>
  <c r="X34" i="49"/>
  <c r="X7" i="49"/>
  <c r="X35" i="49"/>
  <c r="X8" i="49"/>
  <c r="X36" i="49"/>
  <c r="X9" i="49"/>
  <c r="X37" i="49"/>
  <c r="X10" i="49"/>
  <c r="X38" i="49"/>
  <c r="X11" i="49"/>
  <c r="X39" i="49"/>
  <c r="X12" i="49"/>
  <c r="X40" i="49"/>
  <c r="X13" i="49"/>
  <c r="X41" i="49"/>
  <c r="X14" i="49"/>
  <c r="X42" i="49"/>
  <c r="X15" i="49"/>
  <c r="X44" i="49"/>
  <c r="X17" i="49"/>
  <c r="X45" i="49"/>
  <c r="X18" i="49"/>
  <c r="X46" i="49"/>
  <c r="X19" i="49"/>
  <c r="X47" i="49"/>
  <c r="X20" i="49"/>
  <c r="X48" i="49"/>
  <c r="X21" i="49"/>
  <c r="X49" i="49"/>
  <c r="X22" i="49"/>
  <c r="F12" i="39"/>
  <c r="F10" i="39" s="1"/>
  <c r="E139" i="17"/>
  <c r="E179" i="17" s="1"/>
  <c r="E219" i="17" s="1"/>
  <c r="E259" i="17" s="1"/>
  <c r="E299" i="17" s="1"/>
  <c r="E339" i="17" s="1"/>
  <c r="E379" i="17" s="1"/>
  <c r="E419" i="17" s="1"/>
  <c r="E459" i="17" s="1"/>
  <c r="E499" i="17" s="1"/>
  <c r="E539" i="17" s="1"/>
  <c r="E579" i="17" s="1"/>
  <c r="E619" i="17" s="1"/>
  <c r="E659" i="17" s="1"/>
  <c r="E699" i="17" s="1"/>
  <c r="E123" i="17"/>
  <c r="E163" i="17" s="1"/>
  <c r="E203" i="17" s="1"/>
  <c r="E243" i="17" s="1"/>
  <c r="E283" i="17" s="1"/>
  <c r="E323" i="17" s="1"/>
  <c r="E363" i="17" s="1"/>
  <c r="E403" i="17" s="1"/>
  <c r="E443" i="17" s="1"/>
  <c r="E483" i="17" s="1"/>
  <c r="E523" i="17" s="1"/>
  <c r="E563" i="17" s="1"/>
  <c r="E603" i="17" s="1"/>
  <c r="E643" i="17" s="1"/>
  <c r="E683" i="17" s="1"/>
  <c r="E124" i="17"/>
  <c r="E164" i="17" s="1"/>
  <c r="E204" i="17" s="1"/>
  <c r="E244" i="17" s="1"/>
  <c r="E284" i="17" s="1"/>
  <c r="E324" i="17" s="1"/>
  <c r="E364" i="17" s="1"/>
  <c r="E404" i="17" s="1"/>
  <c r="E444" i="17" s="1"/>
  <c r="E484" i="17" s="1"/>
  <c r="E524" i="17" s="1"/>
  <c r="E564" i="17" s="1"/>
  <c r="E604" i="17" s="1"/>
  <c r="E644" i="17" s="1"/>
  <c r="E684" i="17" s="1"/>
  <c r="E91" i="17"/>
  <c r="E131" i="17" s="1"/>
  <c r="E171" i="17" s="1"/>
  <c r="E211" i="17" s="1"/>
  <c r="E251" i="17" s="1"/>
  <c r="E291" i="17" s="1"/>
  <c r="E331" i="17" s="1"/>
  <c r="E371" i="17" s="1"/>
  <c r="E411" i="17" s="1"/>
  <c r="E451" i="17" s="1"/>
  <c r="E491" i="17" s="1"/>
  <c r="E531" i="17" s="1"/>
  <c r="E571" i="17" s="1"/>
  <c r="E611" i="17" s="1"/>
  <c r="E651" i="17" s="1"/>
  <c r="E691" i="17" s="1"/>
  <c r="E92" i="17"/>
  <c r="E132" i="17" s="1"/>
  <c r="E172" i="17" s="1"/>
  <c r="E212" i="17" s="1"/>
  <c r="E252" i="17" s="1"/>
  <c r="E292" i="17" s="1"/>
  <c r="E332" i="17" s="1"/>
  <c r="E372" i="17" s="1"/>
  <c r="E412" i="17" s="1"/>
  <c r="E452" i="17" s="1"/>
  <c r="E492" i="17" s="1"/>
  <c r="E532" i="17" s="1"/>
  <c r="E572" i="17" s="1"/>
  <c r="E612" i="17" s="1"/>
  <c r="E652" i="17" s="1"/>
  <c r="E692" i="17" s="1"/>
  <c r="E93" i="17"/>
  <c r="E133" i="17" s="1"/>
  <c r="E173" i="17" s="1"/>
  <c r="E213" i="17" s="1"/>
  <c r="E253" i="17" s="1"/>
  <c r="E293" i="17" s="1"/>
  <c r="E333" i="17" s="1"/>
  <c r="E373" i="17" s="1"/>
  <c r="E413" i="17" s="1"/>
  <c r="E453" i="17" s="1"/>
  <c r="E493" i="17" s="1"/>
  <c r="E533" i="17" s="1"/>
  <c r="E573" i="17" s="1"/>
  <c r="E613" i="17" s="1"/>
  <c r="E653" i="17" s="1"/>
  <c r="E693" i="17" s="1"/>
  <c r="E94" i="17"/>
  <c r="E134" i="17" s="1"/>
  <c r="E174" i="17" s="1"/>
  <c r="E214" i="17" s="1"/>
  <c r="E254" i="17" s="1"/>
  <c r="E294" i="17" s="1"/>
  <c r="E334" i="17" s="1"/>
  <c r="E374" i="17" s="1"/>
  <c r="E414" i="17" s="1"/>
  <c r="E454" i="17" s="1"/>
  <c r="E494" i="17" s="1"/>
  <c r="E534" i="17" s="1"/>
  <c r="E574" i="17" s="1"/>
  <c r="E614" i="17" s="1"/>
  <c r="E654" i="17" s="1"/>
  <c r="E694" i="17" s="1"/>
  <c r="E95" i="17"/>
  <c r="E135" i="17" s="1"/>
  <c r="E175" i="17" s="1"/>
  <c r="E215" i="17" s="1"/>
  <c r="E255" i="17" s="1"/>
  <c r="E295" i="17" s="1"/>
  <c r="E335" i="17" s="1"/>
  <c r="E375" i="17" s="1"/>
  <c r="E415" i="17" s="1"/>
  <c r="E455" i="17" s="1"/>
  <c r="E495" i="17" s="1"/>
  <c r="E535" i="17" s="1"/>
  <c r="E575" i="17" s="1"/>
  <c r="E615" i="17" s="1"/>
  <c r="E655" i="17" s="1"/>
  <c r="E695" i="17" s="1"/>
  <c r="E96" i="17"/>
  <c r="E136" i="17" s="1"/>
  <c r="E176" i="17" s="1"/>
  <c r="E216" i="17" s="1"/>
  <c r="E256" i="17" s="1"/>
  <c r="E296" i="17" s="1"/>
  <c r="E336" i="17" s="1"/>
  <c r="E376" i="17" s="1"/>
  <c r="E416" i="17" s="1"/>
  <c r="E456" i="17" s="1"/>
  <c r="E496" i="17" s="1"/>
  <c r="E536" i="17" s="1"/>
  <c r="E576" i="17" s="1"/>
  <c r="E616" i="17" s="1"/>
  <c r="E656" i="17" s="1"/>
  <c r="E696" i="17" s="1"/>
  <c r="E97" i="17"/>
  <c r="E137" i="17" s="1"/>
  <c r="E177" i="17" s="1"/>
  <c r="E217" i="17" s="1"/>
  <c r="E257" i="17" s="1"/>
  <c r="E297" i="17" s="1"/>
  <c r="E337" i="17" s="1"/>
  <c r="E377" i="17" s="1"/>
  <c r="E417" i="17" s="1"/>
  <c r="E457" i="17" s="1"/>
  <c r="E497" i="17" s="1"/>
  <c r="E537" i="17" s="1"/>
  <c r="E577" i="17" s="1"/>
  <c r="E617" i="17" s="1"/>
  <c r="E657" i="17" s="1"/>
  <c r="E697" i="17" s="1"/>
  <c r="E98" i="17"/>
  <c r="E138" i="17" s="1"/>
  <c r="E178" i="17" s="1"/>
  <c r="E218" i="17" s="1"/>
  <c r="E258" i="17" s="1"/>
  <c r="E298" i="17" s="1"/>
  <c r="E338" i="17" s="1"/>
  <c r="E378" i="17" s="1"/>
  <c r="E418" i="17" s="1"/>
  <c r="E458" i="17" s="1"/>
  <c r="E498" i="17" s="1"/>
  <c r="E538" i="17" s="1"/>
  <c r="E578" i="17" s="1"/>
  <c r="E618" i="17" s="1"/>
  <c r="E658" i="17" s="1"/>
  <c r="E698" i="17" s="1"/>
  <c r="E99" i="17"/>
  <c r="E100" i="17"/>
  <c r="E140" i="17" s="1"/>
  <c r="E180" i="17" s="1"/>
  <c r="E220" i="17" s="1"/>
  <c r="E260" i="17" s="1"/>
  <c r="E300" i="17" s="1"/>
  <c r="E340" i="17" s="1"/>
  <c r="E380" i="17" s="1"/>
  <c r="E420" i="17" s="1"/>
  <c r="E460" i="17" s="1"/>
  <c r="E500" i="17" s="1"/>
  <c r="E540" i="17" s="1"/>
  <c r="E580" i="17" s="1"/>
  <c r="E620" i="17" s="1"/>
  <c r="E660" i="17" s="1"/>
  <c r="E700" i="17" s="1"/>
  <c r="E101" i="17"/>
  <c r="E141" i="17" s="1"/>
  <c r="E181" i="17" s="1"/>
  <c r="E221" i="17" s="1"/>
  <c r="E261" i="17" s="1"/>
  <c r="E301" i="17" s="1"/>
  <c r="E341" i="17" s="1"/>
  <c r="E381" i="17" s="1"/>
  <c r="E421" i="17" s="1"/>
  <c r="E461" i="17" s="1"/>
  <c r="E501" i="17" s="1"/>
  <c r="E541" i="17" s="1"/>
  <c r="E581" i="17" s="1"/>
  <c r="E621" i="17" s="1"/>
  <c r="E661" i="17" s="1"/>
  <c r="E701" i="17" s="1"/>
  <c r="E102" i="17"/>
  <c r="E142" i="17" s="1"/>
  <c r="E182" i="17" s="1"/>
  <c r="E222" i="17" s="1"/>
  <c r="E262" i="17" s="1"/>
  <c r="E302" i="17" s="1"/>
  <c r="E342" i="17" s="1"/>
  <c r="E382" i="17" s="1"/>
  <c r="E422" i="17" s="1"/>
  <c r="E462" i="17" s="1"/>
  <c r="E502" i="17" s="1"/>
  <c r="E542" i="17" s="1"/>
  <c r="E582" i="17" s="1"/>
  <c r="E622" i="17" s="1"/>
  <c r="E662" i="17" s="1"/>
  <c r="E702" i="17" s="1"/>
  <c r="E103" i="17"/>
  <c r="E143" i="17" s="1"/>
  <c r="E183" i="17" s="1"/>
  <c r="E223" i="17" s="1"/>
  <c r="E263" i="17" s="1"/>
  <c r="E303" i="17" s="1"/>
  <c r="E343" i="17" s="1"/>
  <c r="E383" i="17" s="1"/>
  <c r="E423" i="17" s="1"/>
  <c r="E463" i="17" s="1"/>
  <c r="E503" i="17" s="1"/>
  <c r="E543" i="17" s="1"/>
  <c r="E583" i="17" s="1"/>
  <c r="E623" i="17" s="1"/>
  <c r="E663" i="17" s="1"/>
  <c r="E703" i="17" s="1"/>
  <c r="E104" i="17"/>
  <c r="E144" i="17" s="1"/>
  <c r="E184" i="17" s="1"/>
  <c r="E224" i="17" s="1"/>
  <c r="E264" i="17" s="1"/>
  <c r="E304" i="17" s="1"/>
  <c r="E344" i="17" s="1"/>
  <c r="E384" i="17" s="1"/>
  <c r="E424" i="17" s="1"/>
  <c r="E464" i="17" s="1"/>
  <c r="E504" i="17" s="1"/>
  <c r="E544" i="17" s="1"/>
  <c r="E584" i="17" s="1"/>
  <c r="E624" i="17" s="1"/>
  <c r="E664" i="17" s="1"/>
  <c r="E704" i="17" s="1"/>
  <c r="E105" i="17"/>
  <c r="E145" i="17" s="1"/>
  <c r="E185" i="17" s="1"/>
  <c r="E225" i="17" s="1"/>
  <c r="E265" i="17" s="1"/>
  <c r="E305" i="17" s="1"/>
  <c r="E345" i="17" s="1"/>
  <c r="E385" i="17" s="1"/>
  <c r="E425" i="17" s="1"/>
  <c r="E465" i="17" s="1"/>
  <c r="E505" i="17" s="1"/>
  <c r="E545" i="17" s="1"/>
  <c r="E585" i="17" s="1"/>
  <c r="E625" i="17" s="1"/>
  <c r="E665" i="17" s="1"/>
  <c r="E705" i="17" s="1"/>
  <c r="E106" i="17"/>
  <c r="E146" i="17" s="1"/>
  <c r="E186" i="17" s="1"/>
  <c r="E226" i="17" s="1"/>
  <c r="E266" i="17" s="1"/>
  <c r="E306" i="17" s="1"/>
  <c r="E346" i="17" s="1"/>
  <c r="E386" i="17" s="1"/>
  <c r="E426" i="17" s="1"/>
  <c r="E466" i="17" s="1"/>
  <c r="E506" i="17" s="1"/>
  <c r="E546" i="17" s="1"/>
  <c r="E586" i="17" s="1"/>
  <c r="E626" i="17" s="1"/>
  <c r="E666" i="17" s="1"/>
  <c r="E706" i="17" s="1"/>
  <c r="E107" i="17"/>
  <c r="E147" i="17" s="1"/>
  <c r="E187" i="17" s="1"/>
  <c r="E227" i="17" s="1"/>
  <c r="E267" i="17" s="1"/>
  <c r="E307" i="17" s="1"/>
  <c r="E347" i="17" s="1"/>
  <c r="E387" i="17" s="1"/>
  <c r="E427" i="17" s="1"/>
  <c r="E467" i="17" s="1"/>
  <c r="E507" i="17" s="1"/>
  <c r="E547" i="17" s="1"/>
  <c r="E587" i="17" s="1"/>
  <c r="E627" i="17" s="1"/>
  <c r="E667" i="17" s="1"/>
  <c r="E707" i="17" s="1"/>
  <c r="E108" i="17"/>
  <c r="E148" i="17" s="1"/>
  <c r="E188" i="17" s="1"/>
  <c r="E228" i="17" s="1"/>
  <c r="E268" i="17" s="1"/>
  <c r="E308" i="17" s="1"/>
  <c r="E348" i="17" s="1"/>
  <c r="E388" i="17" s="1"/>
  <c r="E428" i="17" s="1"/>
  <c r="E468" i="17" s="1"/>
  <c r="E508" i="17" s="1"/>
  <c r="E548" i="17" s="1"/>
  <c r="E588" i="17" s="1"/>
  <c r="E628" i="17" s="1"/>
  <c r="E668" i="17" s="1"/>
  <c r="E708" i="17" s="1"/>
  <c r="E42" i="17"/>
  <c r="E37" i="17"/>
  <c r="E38" i="17"/>
  <c r="E39" i="17"/>
  <c r="E40" i="17"/>
  <c r="E80" i="17" s="1"/>
  <c r="E120" i="17" s="1"/>
  <c r="E160" i="17" s="1"/>
  <c r="E200" i="17" s="1"/>
  <c r="E240" i="17" s="1"/>
  <c r="E280" i="17" s="1"/>
  <c r="E320" i="17" s="1"/>
  <c r="E360" i="17" s="1"/>
  <c r="E400" i="17" s="1"/>
  <c r="E440" i="17" s="1"/>
  <c r="E480" i="17" s="1"/>
  <c r="E520" i="17" s="1"/>
  <c r="E560" i="17" s="1"/>
  <c r="E600" i="17" s="1"/>
  <c r="E640" i="17" s="1"/>
  <c r="E680" i="17" s="1"/>
  <c r="E41" i="17"/>
  <c r="E33" i="17"/>
  <c r="E34" i="17"/>
  <c r="E35" i="17"/>
  <c r="E36" i="17"/>
  <c r="E76" i="17" s="1"/>
  <c r="E116" i="17" s="1"/>
  <c r="E156" i="17" s="1"/>
  <c r="E196" i="17" s="1"/>
  <c r="E236" i="17" s="1"/>
  <c r="E276" i="17" s="1"/>
  <c r="E316" i="17" s="1"/>
  <c r="E356" i="17" s="1"/>
  <c r="E396" i="17" s="1"/>
  <c r="E436" i="17" s="1"/>
  <c r="E476" i="17" s="1"/>
  <c r="E516" i="17" s="1"/>
  <c r="E556" i="17" s="1"/>
  <c r="E596" i="17" s="1"/>
  <c r="E636" i="17" s="1"/>
  <c r="E676" i="17" s="1"/>
  <c r="E125" i="17"/>
  <c r="E165" i="17" s="1"/>
  <c r="E205" i="17" s="1"/>
  <c r="E245" i="17" s="1"/>
  <c r="E285" i="17" s="1"/>
  <c r="E325" i="17" s="1"/>
  <c r="E365" i="17" s="1"/>
  <c r="E405" i="17" s="1"/>
  <c r="E445" i="17" s="1"/>
  <c r="E485" i="17" s="1"/>
  <c r="E525" i="17" s="1"/>
  <c r="E565" i="17" s="1"/>
  <c r="E605" i="17" s="1"/>
  <c r="E645" i="17" s="1"/>
  <c r="E685" i="17" s="1"/>
  <c r="E126" i="17"/>
  <c r="E166" i="17" s="1"/>
  <c r="E206" i="17" s="1"/>
  <c r="E246" i="17" s="1"/>
  <c r="E286" i="17" s="1"/>
  <c r="E326" i="17" s="1"/>
  <c r="E366" i="17" s="1"/>
  <c r="E406" i="17" s="1"/>
  <c r="E446" i="17" s="1"/>
  <c r="E486" i="17" s="1"/>
  <c r="E526" i="17" s="1"/>
  <c r="E566" i="17" s="1"/>
  <c r="E606" i="17" s="1"/>
  <c r="E646" i="17" s="1"/>
  <c r="E686" i="17" s="1"/>
  <c r="E127" i="17"/>
  <c r="E167" i="17" s="1"/>
  <c r="E207" i="17" s="1"/>
  <c r="E247" i="17" s="1"/>
  <c r="E287" i="17" s="1"/>
  <c r="E327" i="17" s="1"/>
  <c r="E367" i="17" s="1"/>
  <c r="E407" i="17" s="1"/>
  <c r="E447" i="17" s="1"/>
  <c r="E487" i="17" s="1"/>
  <c r="E527" i="17" s="1"/>
  <c r="E567" i="17" s="1"/>
  <c r="E607" i="17" s="1"/>
  <c r="E647" i="17" s="1"/>
  <c r="E687" i="17" s="1"/>
  <c r="E128" i="17"/>
  <c r="E168" i="17" s="1"/>
  <c r="E208" i="17" s="1"/>
  <c r="E248" i="17" s="1"/>
  <c r="E288" i="17" s="1"/>
  <c r="E328" i="17" s="1"/>
  <c r="E368" i="17" s="1"/>
  <c r="E408" i="17" s="1"/>
  <c r="E448" i="17" s="1"/>
  <c r="E488" i="17" s="1"/>
  <c r="E528" i="17" s="1"/>
  <c r="E568" i="17" s="1"/>
  <c r="E608" i="17" s="1"/>
  <c r="E648" i="17" s="1"/>
  <c r="E688" i="17" s="1"/>
  <c r="E129" i="17"/>
  <c r="E169" i="17" s="1"/>
  <c r="E209" i="17" s="1"/>
  <c r="E249" i="17" s="1"/>
  <c r="E289" i="17" s="1"/>
  <c r="E329" i="17" s="1"/>
  <c r="E369" i="17" s="1"/>
  <c r="E409" i="17" s="1"/>
  <c r="E449" i="17" s="1"/>
  <c r="E489" i="17" s="1"/>
  <c r="E529" i="17" s="1"/>
  <c r="E569" i="17" s="1"/>
  <c r="E609" i="17" s="1"/>
  <c r="E649" i="17" s="1"/>
  <c r="E689" i="17" s="1"/>
  <c r="E170" i="17"/>
  <c r="E210" i="17" s="1"/>
  <c r="E250" i="17" s="1"/>
  <c r="E290" i="17" s="1"/>
  <c r="E330" i="17" s="1"/>
  <c r="E370" i="17" s="1"/>
  <c r="E410" i="17" s="1"/>
  <c r="E450" i="17" s="1"/>
  <c r="E490" i="17" s="1"/>
  <c r="AC33" i="17"/>
  <c r="AD33" i="17" s="1"/>
  <c r="AE33" i="17" s="1"/>
  <c r="AF33" i="17" s="1"/>
  <c r="AG33" i="17" s="1"/>
  <c r="AH33" i="17" s="1"/>
  <c r="AI33" i="17" s="1"/>
  <c r="AJ33" i="17" s="1"/>
  <c r="AK33" i="17" s="1"/>
  <c r="AL33" i="17" s="1"/>
  <c r="AM33" i="17" s="1"/>
  <c r="AN33" i="17" s="1"/>
  <c r="AO33" i="17" s="1"/>
  <c r="I44" i="1"/>
  <c r="X32" i="49" l="1"/>
  <c r="X5" i="49"/>
  <c r="E78" i="17"/>
  <c r="E118" i="17" s="1"/>
  <c r="E158" i="17" s="1"/>
  <c r="E198" i="17" s="1"/>
  <c r="E238" i="17" s="1"/>
  <c r="E278" i="17" s="1"/>
  <c r="E318" i="17" s="1"/>
  <c r="E358" i="17" s="1"/>
  <c r="E398" i="17" s="1"/>
  <c r="E438" i="17" s="1"/>
  <c r="E478" i="17" s="1"/>
  <c r="E518" i="17" s="1"/>
  <c r="E558" i="17" s="1"/>
  <c r="E598" i="17" s="1"/>
  <c r="E638" i="17" s="1"/>
  <c r="E678" i="17" s="1"/>
  <c r="E75" i="17"/>
  <c r="E115" i="17" s="1"/>
  <c r="E155" i="17" s="1"/>
  <c r="E195" i="17" s="1"/>
  <c r="E235" i="17" s="1"/>
  <c r="E275" i="17" s="1"/>
  <c r="E315" i="17" s="1"/>
  <c r="E355" i="17" s="1"/>
  <c r="E395" i="17" s="1"/>
  <c r="E435" i="17" s="1"/>
  <c r="E475" i="17" s="1"/>
  <c r="E515" i="17" s="1"/>
  <c r="E555" i="17" s="1"/>
  <c r="E595" i="17" s="1"/>
  <c r="E635" i="17" s="1"/>
  <c r="E675" i="17" s="1"/>
  <c r="E74" i="17"/>
  <c r="E114" i="17" s="1"/>
  <c r="E154" i="17" s="1"/>
  <c r="E194" i="17" s="1"/>
  <c r="E234" i="17" s="1"/>
  <c r="E274" i="17" s="1"/>
  <c r="E314" i="17" s="1"/>
  <c r="E354" i="17" s="1"/>
  <c r="E394" i="17" s="1"/>
  <c r="E434" i="17" s="1"/>
  <c r="E474" i="17" s="1"/>
  <c r="E514" i="17" s="1"/>
  <c r="E554" i="17" s="1"/>
  <c r="E594" i="17" s="1"/>
  <c r="E634" i="17" s="1"/>
  <c r="E674" i="17" s="1"/>
  <c r="E73" i="17"/>
  <c r="E113" i="17" s="1"/>
  <c r="E153" i="17" s="1"/>
  <c r="E193" i="17" s="1"/>
  <c r="E233" i="17" s="1"/>
  <c r="E273" i="17" s="1"/>
  <c r="E313" i="17" s="1"/>
  <c r="E353" i="17" s="1"/>
  <c r="E393" i="17" s="1"/>
  <c r="E433" i="17" s="1"/>
  <c r="E473" i="17" s="1"/>
  <c r="E513" i="17" s="1"/>
  <c r="E553" i="17" s="1"/>
  <c r="E593" i="17" s="1"/>
  <c r="E633" i="17" s="1"/>
  <c r="E673" i="17" s="1"/>
  <c r="E81" i="17"/>
  <c r="E121" i="17" s="1"/>
  <c r="E161" i="17" s="1"/>
  <c r="E201" i="17" s="1"/>
  <c r="E241" i="17" s="1"/>
  <c r="E281" i="17" s="1"/>
  <c r="E321" i="17" s="1"/>
  <c r="E361" i="17" s="1"/>
  <c r="E401" i="17" s="1"/>
  <c r="E441" i="17" s="1"/>
  <c r="E481" i="17" s="1"/>
  <c r="E521" i="17" s="1"/>
  <c r="E561" i="17" s="1"/>
  <c r="E601" i="17" s="1"/>
  <c r="E641" i="17" s="1"/>
  <c r="E681" i="17" s="1"/>
  <c r="E79" i="17"/>
  <c r="E119" i="17" s="1"/>
  <c r="E159" i="17" s="1"/>
  <c r="E199" i="17" s="1"/>
  <c r="E239" i="17" s="1"/>
  <c r="E279" i="17" s="1"/>
  <c r="E319" i="17" s="1"/>
  <c r="E359" i="17" s="1"/>
  <c r="E399" i="17" s="1"/>
  <c r="E439" i="17" s="1"/>
  <c r="E479" i="17" s="1"/>
  <c r="E519" i="17" s="1"/>
  <c r="E559" i="17" s="1"/>
  <c r="E599" i="17" s="1"/>
  <c r="E639" i="17" s="1"/>
  <c r="E679" i="17" s="1"/>
  <c r="E77" i="17"/>
  <c r="E117" i="17" s="1"/>
  <c r="E157" i="17" s="1"/>
  <c r="E197" i="17" s="1"/>
  <c r="E237" i="17" s="1"/>
  <c r="E277" i="17" s="1"/>
  <c r="E317" i="17" s="1"/>
  <c r="E357" i="17" s="1"/>
  <c r="E397" i="17" s="1"/>
  <c r="E437" i="17" s="1"/>
  <c r="E477" i="17" s="1"/>
  <c r="E517" i="17" s="1"/>
  <c r="E557" i="17" s="1"/>
  <c r="E597" i="17" s="1"/>
  <c r="E637" i="17" s="1"/>
  <c r="E677" i="17" s="1"/>
  <c r="E82" i="17"/>
  <c r="E122" i="17" s="1"/>
  <c r="E162" i="17" s="1"/>
  <c r="E202" i="17" s="1"/>
  <c r="E242" i="17" s="1"/>
  <c r="E282" i="17" s="1"/>
  <c r="E322" i="17" s="1"/>
  <c r="E362" i="17" s="1"/>
  <c r="E402" i="17" s="1"/>
  <c r="E442" i="17" s="1"/>
  <c r="E482" i="17" s="1"/>
  <c r="E522" i="17" s="1"/>
  <c r="E562" i="17" s="1"/>
  <c r="E602" i="17" s="1"/>
  <c r="E642" i="17" s="1"/>
  <c r="E682" i="17" s="1"/>
  <c r="E530" i="17"/>
  <c r="E570" i="17" s="1"/>
  <c r="E610" i="17" s="1"/>
  <c r="E650" i="17" s="1"/>
  <c r="E690" i="17" s="1"/>
  <c r="G631" i="17"/>
  <c r="H631" i="17" s="1"/>
  <c r="I631" i="17" s="1"/>
  <c r="J631" i="17" s="1"/>
  <c r="K631" i="17" s="1"/>
  <c r="L631" i="17" s="1"/>
  <c r="M631" i="17" s="1"/>
  <c r="N631" i="17" s="1"/>
  <c r="O631" i="17" s="1"/>
  <c r="P631" i="17" s="1"/>
  <c r="Q631" i="17" s="1"/>
  <c r="R631" i="17" s="1"/>
  <c r="S631" i="17" s="1"/>
  <c r="G591" i="17"/>
  <c r="G551" i="17"/>
  <c r="H551" i="17" s="1"/>
  <c r="I551" i="17" s="1"/>
  <c r="J551" i="17" s="1"/>
  <c r="G511" i="17"/>
  <c r="H511" i="17" s="1"/>
  <c r="I511" i="17" s="1"/>
  <c r="J511" i="17" s="1"/>
  <c r="G471" i="17"/>
  <c r="H471" i="17" s="1"/>
  <c r="I471" i="17" s="1"/>
  <c r="J471" i="17" s="1"/>
  <c r="K471" i="17" s="1"/>
  <c r="L471" i="17" s="1"/>
  <c r="M471" i="17" s="1"/>
  <c r="N471" i="17" s="1"/>
  <c r="O471" i="17" s="1"/>
  <c r="P471" i="17" s="1"/>
  <c r="Q471" i="17" s="1"/>
  <c r="R471" i="17" s="1"/>
  <c r="S471" i="17" s="1"/>
  <c r="T471" i="17" s="1"/>
  <c r="G431" i="17"/>
  <c r="H431" i="17" s="1"/>
  <c r="I431" i="17" s="1"/>
  <c r="J431" i="17" s="1"/>
  <c r="K431" i="17" s="1"/>
  <c r="L431" i="17" s="1"/>
  <c r="M431" i="17" s="1"/>
  <c r="N431" i="17" s="1"/>
  <c r="G391" i="17"/>
  <c r="G351" i="17"/>
  <c r="H351" i="17" s="1"/>
  <c r="I351" i="17" s="1"/>
  <c r="G311" i="17"/>
  <c r="H311" i="17" s="1"/>
  <c r="I311" i="17" s="1"/>
  <c r="J311" i="17" s="1"/>
  <c r="K311" i="17" s="1"/>
  <c r="L311" i="17" s="1"/>
  <c r="G271" i="17"/>
  <c r="H271" i="17" s="1"/>
  <c r="I271" i="17" s="1"/>
  <c r="J271" i="17" s="1"/>
  <c r="K271" i="17" s="1"/>
  <c r="L271" i="17" s="1"/>
  <c r="G231" i="17"/>
  <c r="H231" i="17" s="1"/>
  <c r="I231" i="17" s="1"/>
  <c r="J231" i="17" s="1"/>
  <c r="G191" i="17"/>
  <c r="H191" i="17" s="1"/>
  <c r="I191" i="17" s="1"/>
  <c r="J191" i="17" s="1"/>
  <c r="K191" i="17" s="1"/>
  <c r="L191" i="17" s="1"/>
  <c r="M191" i="17" s="1"/>
  <c r="N191" i="17" s="1"/>
  <c r="O191" i="17" s="1"/>
  <c r="G151" i="17"/>
  <c r="H151" i="17" s="1"/>
  <c r="I151" i="17" s="1"/>
  <c r="J151" i="17" s="1"/>
  <c r="K151" i="17" s="1"/>
  <c r="L151" i="17" s="1"/>
  <c r="M151" i="17" s="1"/>
  <c r="N151" i="17" s="1"/>
  <c r="O151" i="17" s="1"/>
  <c r="G111" i="17"/>
  <c r="H111" i="17" s="1"/>
  <c r="I111" i="17" s="1"/>
  <c r="D109" i="17"/>
  <c r="D108" i="17"/>
  <c r="D107" i="17"/>
  <c r="D147" i="17" s="1"/>
  <c r="D106" i="17"/>
  <c r="D146" i="17" s="1"/>
  <c r="D105" i="17"/>
  <c r="D145" i="17" s="1"/>
  <c r="D104" i="17"/>
  <c r="D103" i="17"/>
  <c r="D102" i="17"/>
  <c r="D101" i="17"/>
  <c r="D100" i="17"/>
  <c r="D99" i="17"/>
  <c r="D98" i="17"/>
  <c r="D97" i="17"/>
  <c r="D137" i="17" s="1"/>
  <c r="D96" i="17"/>
  <c r="D95" i="17"/>
  <c r="D94" i="17"/>
  <c r="D93" i="17"/>
  <c r="D92" i="17"/>
  <c r="D132" i="17" s="1"/>
  <c r="D91" i="17"/>
  <c r="D90" i="17"/>
  <c r="D130" i="17" s="1"/>
  <c r="D89" i="17"/>
  <c r="D88" i="17"/>
  <c r="D87" i="17"/>
  <c r="D86" i="17"/>
  <c r="D85" i="17"/>
  <c r="D125" i="17" s="1"/>
  <c r="D84" i="17"/>
  <c r="D83" i="17"/>
  <c r="D123" i="17" s="1"/>
  <c r="D82" i="17"/>
  <c r="D81" i="17"/>
  <c r="D80" i="17"/>
  <c r="D79" i="17"/>
  <c r="D78" i="17"/>
  <c r="D77" i="17"/>
  <c r="D76" i="17"/>
  <c r="D75" i="17"/>
  <c r="D74" i="17"/>
  <c r="D73" i="17"/>
  <c r="D72" i="17"/>
  <c r="G71" i="17"/>
  <c r="H71" i="17" s="1"/>
  <c r="I71" i="17" s="1"/>
  <c r="D71" i="17"/>
  <c r="D70" i="17"/>
  <c r="E70" i="17" s="1"/>
  <c r="E32" i="17"/>
  <c r="E72" i="17" s="1"/>
  <c r="G31" i="17"/>
  <c r="H31" i="17" l="1"/>
  <c r="E112" i="17"/>
  <c r="E152" i="17" s="1"/>
  <c r="E192" i="17" s="1"/>
  <c r="E232" i="17" s="1"/>
  <c r="E272" i="17" s="1"/>
  <c r="E312" i="17" s="1"/>
  <c r="E352" i="17" s="1"/>
  <c r="E392" i="17" s="1"/>
  <c r="E432" i="17" s="1"/>
  <c r="E472" i="17" s="1"/>
  <c r="E512" i="17" s="1"/>
  <c r="E552" i="17" s="1"/>
  <c r="E592" i="17" s="1"/>
  <c r="E632" i="17" s="1"/>
  <c r="E672" i="17" s="1"/>
  <c r="D148" i="17"/>
  <c r="D188" i="17" s="1"/>
  <c r="D110" i="17"/>
  <c r="E110" i="17" s="1"/>
  <c r="D170" i="17"/>
  <c r="D129" i="17"/>
  <c r="D169" i="17" s="1"/>
  <c r="D128" i="17"/>
  <c r="D185" i="17"/>
  <c r="D118" i="17"/>
  <c r="D138" i="17"/>
  <c r="D187" i="17"/>
  <c r="D119" i="17"/>
  <c r="D126" i="17"/>
  <c r="D127" i="17"/>
  <c r="D133" i="17"/>
  <c r="D113" i="17"/>
  <c r="D111" i="17"/>
  <c r="D131" i="17"/>
  <c r="D115" i="17"/>
  <c r="D136" i="17"/>
  <c r="D117" i="17"/>
  <c r="D157" i="17" s="1"/>
  <c r="D120" i="17"/>
  <c r="D140" i="17"/>
  <c r="D172" i="17"/>
  <c r="D122" i="17"/>
  <c r="D141" i="17"/>
  <c r="D124" i="17"/>
  <c r="D143" i="17"/>
  <c r="D183" i="17" s="1"/>
  <c r="D144" i="17"/>
  <c r="J71" i="17"/>
  <c r="K71" i="17" s="1"/>
  <c r="L71" i="17" s="1"/>
  <c r="P151" i="17"/>
  <c r="U471" i="17"/>
  <c r="P191" i="17"/>
  <c r="Q191" i="17" s="1"/>
  <c r="M271" i="17"/>
  <c r="N271" i="17" s="1"/>
  <c r="O271" i="17" s="1"/>
  <c r="P271" i="17" s="1"/>
  <c r="M311" i="17"/>
  <c r="D163" i="17"/>
  <c r="D165" i="17"/>
  <c r="D114" i="17"/>
  <c r="H391" i="17"/>
  <c r="D135" i="17"/>
  <c r="K231" i="17"/>
  <c r="L231" i="17" s="1"/>
  <c r="M231" i="17" s="1"/>
  <c r="O431" i="17"/>
  <c r="P431" i="17" s="1"/>
  <c r="K551" i="17"/>
  <c r="D177" i="17"/>
  <c r="D149" i="17"/>
  <c r="D186" i="17"/>
  <c r="D142" i="17"/>
  <c r="D112" i="17"/>
  <c r="D139" i="17"/>
  <c r="D134" i="17"/>
  <c r="T631" i="17"/>
  <c r="U631" i="17" s="1"/>
  <c r="V631" i="17" s="1"/>
  <c r="W631" i="17" s="1"/>
  <c r="X631" i="17" s="1"/>
  <c r="J111" i="17"/>
  <c r="D121" i="17"/>
  <c r="D116" i="17"/>
  <c r="J351" i="17"/>
  <c r="H591" i="17"/>
  <c r="K511" i="17"/>
  <c r="I31" i="17" l="1"/>
  <c r="D180" i="17"/>
  <c r="D181" i="17"/>
  <c r="D212" i="17"/>
  <c r="D164" i="17"/>
  <c r="D173" i="17"/>
  <c r="D166" i="17"/>
  <c r="D153" i="17"/>
  <c r="D178" i="17"/>
  <c r="D155" i="17"/>
  <c r="D158" i="17"/>
  <c r="D160" i="17"/>
  <c r="D200" i="17" s="1"/>
  <c r="D171" i="17"/>
  <c r="D225" i="17"/>
  <c r="D159" i="17"/>
  <c r="D150" i="17"/>
  <c r="E150" i="17" s="1"/>
  <c r="D176" i="17"/>
  <c r="D162" i="17"/>
  <c r="D167" i="17"/>
  <c r="D168" i="17"/>
  <c r="D208" i="17" s="1"/>
  <c r="D184" i="17"/>
  <c r="D151" i="17"/>
  <c r="D210" i="17"/>
  <c r="D250" i="17" s="1"/>
  <c r="D227" i="17"/>
  <c r="D203" i="17"/>
  <c r="D197" i="17"/>
  <c r="N231" i="17"/>
  <c r="D175" i="17"/>
  <c r="D217" i="17"/>
  <c r="L551" i="17"/>
  <c r="R191" i="17"/>
  <c r="D182" i="17"/>
  <c r="Q431" i="17"/>
  <c r="I391" i="17"/>
  <c r="K351" i="17"/>
  <c r="I591" i="17"/>
  <c r="D154" i="17"/>
  <c r="Q271" i="17"/>
  <c r="D228" i="17"/>
  <c r="D156" i="17"/>
  <c r="V471" i="17"/>
  <c r="D223" i="17"/>
  <c r="K111" i="17"/>
  <c r="D226" i="17"/>
  <c r="D161" i="17"/>
  <c r="D179" i="17"/>
  <c r="D152" i="17"/>
  <c r="Q151" i="17"/>
  <c r="D189" i="17"/>
  <c r="D174" i="17"/>
  <c r="J31" i="17"/>
  <c r="Y631" i="17"/>
  <c r="L511" i="17"/>
  <c r="D209" i="17"/>
  <c r="N311" i="17"/>
  <c r="D205" i="17"/>
  <c r="M71" i="17"/>
  <c r="D9" i="41"/>
  <c r="D202" i="17" l="1"/>
  <c r="D198" i="17"/>
  <c r="D193" i="17"/>
  <c r="D252" i="17"/>
  <c r="D218" i="17"/>
  <c r="D211" i="17"/>
  <c r="D213" i="17"/>
  <c r="D206" i="17"/>
  <c r="D221" i="17"/>
  <c r="D190" i="17"/>
  <c r="E190" i="17" s="1"/>
  <c r="D191" i="17"/>
  <c r="D204" i="17"/>
  <c r="D267" i="17"/>
  <c r="D307" i="17" s="1"/>
  <c r="D224" i="17"/>
  <c r="D220" i="17"/>
  <c r="D199" i="17"/>
  <c r="D216" i="17"/>
  <c r="D256" i="17" s="1"/>
  <c r="D195" i="17"/>
  <c r="D207" i="17"/>
  <c r="D265" i="17"/>
  <c r="R271" i="17"/>
  <c r="D248" i="17"/>
  <c r="M551" i="17"/>
  <c r="O311" i="17"/>
  <c r="D240" i="17"/>
  <c r="K31" i="17"/>
  <c r="J391" i="17"/>
  <c r="D257" i="17"/>
  <c r="D268" i="17"/>
  <c r="D201" i="17"/>
  <c r="D266" i="17"/>
  <c r="D222" i="17"/>
  <c r="R151" i="17"/>
  <c r="N71" i="17"/>
  <c r="L111" i="17"/>
  <c r="D194" i="17"/>
  <c r="S191" i="17"/>
  <c r="D245" i="17"/>
  <c r="J591" i="17"/>
  <c r="L351" i="17"/>
  <c r="D249" i="17"/>
  <c r="D214" i="17"/>
  <c r="D215" i="17"/>
  <c r="D263" i="17"/>
  <c r="O231" i="17"/>
  <c r="D229" i="17"/>
  <c r="W471" i="17"/>
  <c r="Z631" i="17"/>
  <c r="D290" i="17"/>
  <c r="D192" i="17"/>
  <c r="M511" i="17"/>
  <c r="D219" i="17"/>
  <c r="R431" i="17"/>
  <c r="D237" i="17"/>
  <c r="D196" i="17"/>
  <c r="D243" i="17"/>
  <c r="AH78" i="45"/>
  <c r="AG78" i="45"/>
  <c r="AF78" i="45"/>
  <c r="AE78" i="45"/>
  <c r="AD78" i="45"/>
  <c r="AC78" i="45"/>
  <c r="AB78" i="45"/>
  <c r="AA78" i="45"/>
  <c r="Z78" i="45"/>
  <c r="Y78" i="45"/>
  <c r="X78" i="45"/>
  <c r="W78" i="45"/>
  <c r="V78" i="45"/>
  <c r="U78" i="45"/>
  <c r="T78" i="45"/>
  <c r="S78" i="45"/>
  <c r="R78" i="45"/>
  <c r="Q78" i="45"/>
  <c r="P78" i="45"/>
  <c r="O78" i="45"/>
  <c r="N78" i="45"/>
  <c r="M78" i="45"/>
  <c r="L78" i="45"/>
  <c r="K78" i="45"/>
  <c r="J78" i="45"/>
  <c r="E70" i="45"/>
  <c r="E62" i="45"/>
  <c r="J42" i="45"/>
  <c r="J50" i="45" s="1"/>
  <c r="J41" i="45"/>
  <c r="J46" i="45" s="1"/>
  <c r="G21" i="45"/>
  <c r="D21" i="45"/>
  <c r="G20" i="45"/>
  <c r="D20" i="45"/>
  <c r="D19" i="45"/>
  <c r="G12" i="45"/>
  <c r="G11" i="45"/>
  <c r="A4" i="45"/>
  <c r="K2" i="45"/>
  <c r="L2" i="45" s="1"/>
  <c r="M2" i="45" s="1"/>
  <c r="N2" i="45" s="1"/>
  <c r="O2" i="45" s="1"/>
  <c r="P2" i="45" s="1"/>
  <c r="A2" i="45"/>
  <c r="A4" i="44"/>
  <c r="H2" i="44"/>
  <c r="A2" i="44"/>
  <c r="E30" i="43"/>
  <c r="C30" i="43"/>
  <c r="E29" i="43"/>
  <c r="C29" i="43"/>
  <c r="E28" i="43"/>
  <c r="G28" i="43" s="1"/>
  <c r="C28" i="43"/>
  <c r="E27" i="43"/>
  <c r="C27" i="43"/>
  <c r="F26" i="43"/>
  <c r="E26" i="43"/>
  <c r="C26" i="43"/>
  <c r="G8" i="43"/>
  <c r="H8" i="43" s="1"/>
  <c r="A4" i="43"/>
  <c r="A2" i="43"/>
  <c r="G64" i="42"/>
  <c r="F64" i="42"/>
  <c r="G29" i="42"/>
  <c r="F29" i="42"/>
  <c r="H7" i="42"/>
  <c r="A4" i="42"/>
  <c r="A2" i="42"/>
  <c r="A4" i="41"/>
  <c r="G2" i="41"/>
  <c r="A2" i="41"/>
  <c r="G37" i="40"/>
  <c r="AD37" i="40" s="1"/>
  <c r="G36" i="40"/>
  <c r="H36" i="40" s="1"/>
  <c r="A4" i="40"/>
  <c r="I2" i="40"/>
  <c r="A2" i="40"/>
  <c r="M45" i="39"/>
  <c r="H12" i="45" s="1"/>
  <c r="G53" i="42"/>
  <c r="F75" i="42" s="1"/>
  <c r="F93" i="42" s="1"/>
  <c r="F37" i="40"/>
  <c r="D45" i="43"/>
  <c r="F11" i="43"/>
  <c r="AA36" i="40" l="1"/>
  <c r="AB36" i="40"/>
  <c r="AC36" i="40"/>
  <c r="D260" i="17"/>
  <c r="D251" i="17"/>
  <c r="D264" i="17"/>
  <c r="D244" i="17"/>
  <c r="D239" i="17"/>
  <c r="D305" i="17"/>
  <c r="D253" i="17"/>
  <c r="D230" i="17"/>
  <c r="E230" i="17" s="1"/>
  <c r="D235" i="17"/>
  <c r="D246" i="17"/>
  <c r="D247" i="17"/>
  <c r="D233" i="17"/>
  <c r="D238" i="17"/>
  <c r="D261" i="17"/>
  <c r="D258" i="17"/>
  <c r="D231" i="17"/>
  <c r="D242" i="17"/>
  <c r="D292" i="17"/>
  <c r="N511" i="17"/>
  <c r="AA631" i="17"/>
  <c r="D289" i="17"/>
  <c r="L31" i="17"/>
  <c r="X471" i="17"/>
  <c r="D236" i="17"/>
  <c r="K591" i="17"/>
  <c r="D285" i="17"/>
  <c r="D296" i="17"/>
  <c r="D330" i="17"/>
  <c r="D269" i="17"/>
  <c r="D241" i="17"/>
  <c r="D308" i="17"/>
  <c r="N551" i="17"/>
  <c r="D255" i="17"/>
  <c r="D297" i="17"/>
  <c r="D347" i="17"/>
  <c r="M351" i="17"/>
  <c r="S151" i="17"/>
  <c r="D280" i="17"/>
  <c r="D306" i="17"/>
  <c r="D232" i="17"/>
  <c r="P231" i="17"/>
  <c r="T191" i="17"/>
  <c r="D254" i="17"/>
  <c r="D277" i="17"/>
  <c r="D262" i="17"/>
  <c r="P311" i="17"/>
  <c r="S431" i="17"/>
  <c r="D234" i="17"/>
  <c r="D288" i="17"/>
  <c r="D283" i="17"/>
  <c r="K391" i="17"/>
  <c r="O71" i="17"/>
  <c r="D259" i="17"/>
  <c r="D303" i="17"/>
  <c r="M111" i="17"/>
  <c r="S271" i="17"/>
  <c r="AD36" i="40"/>
  <c r="J37" i="40"/>
  <c r="K37" i="40"/>
  <c r="L37" i="40"/>
  <c r="S37" i="40"/>
  <c r="T37" i="40"/>
  <c r="Z37" i="40"/>
  <c r="J36" i="40"/>
  <c r="AB37" i="40"/>
  <c r="K36" i="40"/>
  <c r="AC37" i="40"/>
  <c r="L36" i="40"/>
  <c r="AE37" i="40"/>
  <c r="M36" i="40"/>
  <c r="AF37" i="40"/>
  <c r="AA37" i="40"/>
  <c r="I37" i="40"/>
  <c r="U37" i="40"/>
  <c r="N36" i="40"/>
  <c r="O36" i="40"/>
  <c r="G11" i="43"/>
  <c r="F12" i="43"/>
  <c r="F62" i="43" s="1"/>
  <c r="F61" i="43"/>
  <c r="G5" i="40" s="1"/>
  <c r="G3" i="40" s="1"/>
  <c r="F10" i="43"/>
  <c r="F9" i="43"/>
  <c r="F14" i="43" s="1"/>
  <c r="F18" i="43" s="1"/>
  <c r="H2" i="41"/>
  <c r="G4" i="41"/>
  <c r="J2" i="40"/>
  <c r="Q36" i="40"/>
  <c r="V37" i="40"/>
  <c r="E31" i="43"/>
  <c r="P36" i="40"/>
  <c r="X36" i="40"/>
  <c r="W37" i="40"/>
  <c r="Y36" i="40"/>
  <c r="X37" i="40"/>
  <c r="F21" i="43"/>
  <c r="G21" i="43"/>
  <c r="Z36" i="40"/>
  <c r="Y37" i="40"/>
  <c r="AE36" i="40"/>
  <c r="AF36" i="40"/>
  <c r="N37" i="40"/>
  <c r="M37" i="40"/>
  <c r="R37" i="40"/>
  <c r="Q37" i="40"/>
  <c r="P37" i="40"/>
  <c r="O37" i="40"/>
  <c r="U36" i="40"/>
  <c r="T36" i="40"/>
  <c r="W36" i="40"/>
  <c r="V36" i="40"/>
  <c r="S36" i="40"/>
  <c r="R36" i="40"/>
  <c r="I36" i="40"/>
  <c r="H37" i="40"/>
  <c r="H64" i="42"/>
  <c r="H29" i="42"/>
  <c r="I7" i="42"/>
  <c r="H10" i="43"/>
  <c r="H23" i="43" s="1"/>
  <c r="H9" i="43"/>
  <c r="H15" i="43" s="1"/>
  <c r="H21" i="43"/>
  <c r="I8" i="43"/>
  <c r="Q2" i="45"/>
  <c r="I2" i="44"/>
  <c r="G9" i="43"/>
  <c r="G14" i="43" s="1"/>
  <c r="G10" i="43"/>
  <c r="G23" i="43" s="1"/>
  <c r="F28" i="43"/>
  <c r="H28" i="43"/>
  <c r="D332" i="17" l="1"/>
  <c r="D301" i="17"/>
  <c r="D286" i="17"/>
  <c r="D271" i="17"/>
  <c r="D279" i="17"/>
  <c r="D300" i="17"/>
  <c r="D270" i="17"/>
  <c r="E270" i="17" s="1"/>
  <c r="D345" i="17"/>
  <c r="D298" i="17"/>
  <c r="D287" i="17"/>
  <c r="D284" i="17"/>
  <c r="D282" i="17"/>
  <c r="D304" i="17"/>
  <c r="D275" i="17"/>
  <c r="D273" i="17"/>
  <c r="D278" i="17"/>
  <c r="D293" i="17"/>
  <c r="D291" i="17"/>
  <c r="D346" i="17"/>
  <c r="D348" i="17"/>
  <c r="D328" i="17"/>
  <c r="D320" i="17"/>
  <c r="N351" i="17"/>
  <c r="D370" i="17"/>
  <c r="U191" i="17"/>
  <c r="D276" i="17"/>
  <c r="N111" i="17"/>
  <c r="T151" i="17"/>
  <c r="D309" i="17"/>
  <c r="D343" i="17"/>
  <c r="T431" i="17"/>
  <c r="Y471" i="17"/>
  <c r="D281" i="17"/>
  <c r="Q311" i="17"/>
  <c r="P71" i="17"/>
  <c r="L391" i="17"/>
  <c r="D294" i="17"/>
  <c r="D337" i="17"/>
  <c r="D329" i="17"/>
  <c r="M31" i="17"/>
  <c r="D336" i="17"/>
  <c r="D272" i="17"/>
  <c r="D295" i="17"/>
  <c r="AB631" i="17"/>
  <c r="D274" i="17"/>
  <c r="D299" i="17"/>
  <c r="D387" i="17"/>
  <c r="D302" i="17"/>
  <c r="D317" i="17"/>
  <c r="D325" i="17"/>
  <c r="O551" i="17"/>
  <c r="D323" i="17"/>
  <c r="T271" i="17"/>
  <c r="L591" i="17"/>
  <c r="Q231" i="17"/>
  <c r="O511" i="17"/>
  <c r="G27" i="43"/>
  <c r="H14" i="43"/>
  <c r="H20" i="43"/>
  <c r="G30" i="43"/>
  <c r="H30" i="43"/>
  <c r="H27" i="43"/>
  <c r="G22" i="43"/>
  <c r="F22" i="43"/>
  <c r="I2" i="41"/>
  <c r="F30" i="43"/>
  <c r="F23" i="43"/>
  <c r="K2" i="40"/>
  <c r="Q11" i="45"/>
  <c r="O11" i="45"/>
  <c r="J11" i="45"/>
  <c r="P11" i="45"/>
  <c r="K11" i="45"/>
  <c r="H20" i="45"/>
  <c r="N11" i="45"/>
  <c r="M11" i="45"/>
  <c r="L11" i="45"/>
  <c r="G62" i="43"/>
  <c r="H11" i="43"/>
  <c r="G12" i="43"/>
  <c r="I21" i="43"/>
  <c r="J8" i="43"/>
  <c r="I9" i="43"/>
  <c r="I10" i="43"/>
  <c r="F27" i="43"/>
  <c r="H21" i="45"/>
  <c r="L12" i="45"/>
  <c r="K12" i="45"/>
  <c r="Q12" i="45"/>
  <c r="P12" i="45"/>
  <c r="M12" i="45"/>
  <c r="J12" i="45"/>
  <c r="O12" i="45"/>
  <c r="N12" i="45"/>
  <c r="I28" i="43"/>
  <c r="J2" i="44"/>
  <c r="I29" i="42"/>
  <c r="J7" i="42"/>
  <c r="I64" i="42"/>
  <c r="G5" i="42"/>
  <c r="H3" i="40" s="1"/>
  <c r="H5" i="40" s="1"/>
  <c r="F4" i="41"/>
  <c r="F5" i="42" s="1"/>
  <c r="H4" i="41"/>
  <c r="R2" i="45"/>
  <c r="F15" i="43"/>
  <c r="G51" i="41"/>
  <c r="G15" i="43"/>
  <c r="G20" i="43" s="1"/>
  <c r="D311" i="17" l="1"/>
  <c r="D322" i="17"/>
  <c r="D385" i="17"/>
  <c r="D313" i="17"/>
  <c r="D310" i="17"/>
  <c r="E310" i="17" s="1"/>
  <c r="D315" i="17"/>
  <c r="D333" i="17"/>
  <c r="D340" i="17"/>
  <c r="D318" i="17"/>
  <c r="D319" i="17"/>
  <c r="D324" i="17"/>
  <c r="D331" i="17"/>
  <c r="D326" i="17"/>
  <c r="D341" i="17"/>
  <c r="D327" i="17"/>
  <c r="D344" i="17"/>
  <c r="D338" i="17"/>
  <c r="D372" i="17"/>
  <c r="D316" i="17"/>
  <c r="M591" i="17"/>
  <c r="V191" i="17"/>
  <c r="AC631" i="17"/>
  <c r="N31" i="17"/>
  <c r="Z471" i="17"/>
  <c r="O351" i="17"/>
  <c r="D342" i="17"/>
  <c r="D339" i="17"/>
  <c r="D314" i="17"/>
  <c r="D363" i="17"/>
  <c r="D369" i="17"/>
  <c r="D334" i="17"/>
  <c r="D368" i="17"/>
  <c r="D349" i="17"/>
  <c r="D388" i="17"/>
  <c r="U271" i="17"/>
  <c r="D376" i="17"/>
  <c r="D335" i="17"/>
  <c r="D377" i="17"/>
  <c r="U151" i="17"/>
  <c r="R231" i="17"/>
  <c r="Q71" i="17"/>
  <c r="R311" i="17"/>
  <c r="P511" i="17"/>
  <c r="D360" i="17"/>
  <c r="D365" i="17"/>
  <c r="M391" i="17"/>
  <c r="D357" i="17"/>
  <c r="D386" i="17"/>
  <c r="O111" i="17"/>
  <c r="D312" i="17"/>
  <c r="D427" i="17"/>
  <c r="D321" i="17"/>
  <c r="D410" i="17"/>
  <c r="P551" i="17"/>
  <c r="U431" i="17"/>
  <c r="D383" i="17"/>
  <c r="H22" i="43"/>
  <c r="H51" i="41"/>
  <c r="J2" i="41"/>
  <c r="R21" i="45"/>
  <c r="P21" i="45"/>
  <c r="J21" i="45"/>
  <c r="N21" i="45"/>
  <c r="M21" i="45"/>
  <c r="L21" i="45"/>
  <c r="O21" i="45"/>
  <c r="K21" i="45"/>
  <c r="Q21" i="45"/>
  <c r="S2" i="45"/>
  <c r="S21" i="45" s="1"/>
  <c r="I15" i="43"/>
  <c r="I20" i="43" s="1"/>
  <c r="I14" i="43"/>
  <c r="J10" i="43"/>
  <c r="K8" i="43"/>
  <c r="J9" i="43"/>
  <c r="J28" i="43"/>
  <c r="J21" i="43"/>
  <c r="J29" i="42"/>
  <c r="K7" i="42"/>
  <c r="J64" i="42"/>
  <c r="Q20" i="45"/>
  <c r="P20" i="45"/>
  <c r="N20" i="45"/>
  <c r="L20" i="45"/>
  <c r="K20" i="45"/>
  <c r="J20" i="45"/>
  <c r="R20" i="45"/>
  <c r="O20" i="45"/>
  <c r="M20" i="45"/>
  <c r="K2" i="44"/>
  <c r="I23" i="43"/>
  <c r="I30" i="43"/>
  <c r="I27" i="43"/>
  <c r="L2" i="40"/>
  <c r="R11" i="45"/>
  <c r="I4" i="41"/>
  <c r="H5" i="42"/>
  <c r="I3" i="40" s="1"/>
  <c r="I5" i="40" s="1"/>
  <c r="F20" i="43"/>
  <c r="H12" i="43"/>
  <c r="I11" i="43"/>
  <c r="R12" i="45"/>
  <c r="H62" i="43"/>
  <c r="G61" i="43"/>
  <c r="D380" i="17" l="1"/>
  <c r="D373" i="17"/>
  <c r="D412" i="17"/>
  <c r="D381" i="17"/>
  <c r="D355" i="17"/>
  <c r="D362" i="17"/>
  <c r="D350" i="17"/>
  <c r="E350" i="17" s="1"/>
  <c r="D351" i="17"/>
  <c r="D378" i="17"/>
  <c r="D353" i="17"/>
  <c r="D371" i="17"/>
  <c r="D425" i="17"/>
  <c r="D367" i="17"/>
  <c r="D364" i="17"/>
  <c r="D359" i="17"/>
  <c r="D366" i="17"/>
  <c r="D384" i="17"/>
  <c r="D358" i="17"/>
  <c r="V151" i="17"/>
  <c r="D417" i="17"/>
  <c r="D400" i="17"/>
  <c r="D375" i="17"/>
  <c r="Q551" i="17"/>
  <c r="P111" i="17"/>
  <c r="V271" i="17"/>
  <c r="AD631" i="17"/>
  <c r="D382" i="17"/>
  <c r="AA471" i="17"/>
  <c r="D416" i="17"/>
  <c r="D450" i="17"/>
  <c r="D352" i="17"/>
  <c r="D408" i="17"/>
  <c r="O31" i="17"/>
  <c r="D361" i="17"/>
  <c r="D374" i="17"/>
  <c r="D409" i="17"/>
  <c r="Q511" i="17"/>
  <c r="W191" i="17"/>
  <c r="D354" i="17"/>
  <c r="D426" i="17"/>
  <c r="D428" i="17"/>
  <c r="D467" i="17"/>
  <c r="D403" i="17"/>
  <c r="R71" i="17"/>
  <c r="D389" i="17"/>
  <c r="S231" i="17"/>
  <c r="D405" i="17"/>
  <c r="P351" i="17"/>
  <c r="V431" i="17"/>
  <c r="S311" i="17"/>
  <c r="N591" i="17"/>
  <c r="D397" i="17"/>
  <c r="D379" i="17"/>
  <c r="D356" i="17"/>
  <c r="D423" i="17"/>
  <c r="N391" i="17"/>
  <c r="F45" i="43"/>
  <c r="I12" i="43"/>
  <c r="J11" i="43"/>
  <c r="I22" i="43"/>
  <c r="L2" i="44"/>
  <c r="K64" i="42"/>
  <c r="K29" i="42"/>
  <c r="L7" i="42"/>
  <c r="T2" i="45"/>
  <c r="S12" i="45"/>
  <c r="S11" i="45"/>
  <c r="S20" i="45"/>
  <c r="M2" i="40"/>
  <c r="I51" i="41"/>
  <c r="J15" i="43"/>
  <c r="J14" i="43"/>
  <c r="K2" i="41"/>
  <c r="J4" i="41"/>
  <c r="I5" i="42"/>
  <c r="J3" i="40" s="1"/>
  <c r="J5" i="40" s="1"/>
  <c r="K28" i="43"/>
  <c r="K10" i="43"/>
  <c r="K9" i="43"/>
  <c r="L8" i="43"/>
  <c r="K21" i="43"/>
  <c r="H61" i="43"/>
  <c r="I62" i="43"/>
  <c r="J30" i="43"/>
  <c r="J23" i="43"/>
  <c r="J27" i="43"/>
  <c r="D411" i="17" l="1"/>
  <c r="D391" i="17"/>
  <c r="D420" i="17"/>
  <c r="D398" i="17"/>
  <c r="D452" i="17"/>
  <c r="D393" i="17"/>
  <c r="D407" i="17"/>
  <c r="D424" i="17"/>
  <c r="D402" i="17"/>
  <c r="D406" i="17"/>
  <c r="D465" i="17"/>
  <c r="D395" i="17"/>
  <c r="D404" i="17"/>
  <c r="D418" i="17"/>
  <c r="D413" i="17"/>
  <c r="D399" i="17"/>
  <c r="D390" i="17"/>
  <c r="E390" i="17" s="1"/>
  <c r="D421" i="17"/>
  <c r="D449" i="17"/>
  <c r="D445" i="17"/>
  <c r="X191" i="17"/>
  <c r="D422" i="17"/>
  <c r="D443" i="17"/>
  <c r="AE631" i="17"/>
  <c r="O391" i="17"/>
  <c r="W431" i="17"/>
  <c r="Q351" i="17"/>
  <c r="D396" i="17"/>
  <c r="D419" i="17"/>
  <c r="D490" i="17"/>
  <c r="D456" i="17"/>
  <c r="D401" i="17"/>
  <c r="D437" i="17"/>
  <c r="P31" i="17"/>
  <c r="O591" i="17"/>
  <c r="R511" i="17"/>
  <c r="D448" i="17"/>
  <c r="AB471" i="17"/>
  <c r="D457" i="17"/>
  <c r="S71" i="17"/>
  <c r="D507" i="17"/>
  <c r="D392" i="17"/>
  <c r="D414" i="17"/>
  <c r="D415" i="17"/>
  <c r="T231" i="17"/>
  <c r="T311" i="17"/>
  <c r="W271" i="17"/>
  <c r="D463" i="17"/>
  <c r="Q111" i="17"/>
  <c r="D468" i="17"/>
  <c r="R551" i="17"/>
  <c r="D466" i="17"/>
  <c r="D440" i="17"/>
  <c r="D429" i="17"/>
  <c r="D394" i="17"/>
  <c r="W151" i="17"/>
  <c r="N42" i="39"/>
  <c r="O42" i="39" s="1"/>
  <c r="M2" i="44"/>
  <c r="L2" i="41"/>
  <c r="J5" i="42"/>
  <c r="K3" i="40" s="1"/>
  <c r="K5" i="40" s="1"/>
  <c r="K4" i="41"/>
  <c r="L29" i="42"/>
  <c r="M7" i="42"/>
  <c r="L64" i="42"/>
  <c r="J12" i="43"/>
  <c r="K11" i="43"/>
  <c r="J22" i="43"/>
  <c r="U2" i="45"/>
  <c r="T12" i="45"/>
  <c r="T11" i="45"/>
  <c r="T21" i="45"/>
  <c r="T20" i="45"/>
  <c r="L28" i="43"/>
  <c r="M8" i="43"/>
  <c r="L9" i="43"/>
  <c r="L21" i="43"/>
  <c r="L10" i="43"/>
  <c r="K23" i="43"/>
  <c r="K30" i="43"/>
  <c r="K27" i="43"/>
  <c r="N2" i="40"/>
  <c r="J51" i="41"/>
  <c r="J20" i="43"/>
  <c r="K14" i="43"/>
  <c r="K15" i="43"/>
  <c r="K20" i="43" s="1"/>
  <c r="F29" i="43"/>
  <c r="F31" i="43" s="1"/>
  <c r="I61" i="43"/>
  <c r="D444" i="17" l="1"/>
  <c r="D435" i="17"/>
  <c r="D461" i="17"/>
  <c r="D442" i="17"/>
  <c r="D464" i="17"/>
  <c r="D505" i="17"/>
  <c r="D447" i="17"/>
  <c r="D460" i="17"/>
  <c r="D451" i="17"/>
  <c r="D492" i="17"/>
  <c r="D438" i="17"/>
  <c r="D430" i="17"/>
  <c r="E430" i="17" s="1"/>
  <c r="D453" i="17"/>
  <c r="D446" i="17"/>
  <c r="D431" i="17"/>
  <c r="D458" i="17"/>
  <c r="D433" i="17"/>
  <c r="D439" i="17"/>
  <c r="D497" i="17"/>
  <c r="X151" i="17"/>
  <c r="D454" i="17"/>
  <c r="D488" i="17"/>
  <c r="D503" i="17"/>
  <c r="D480" i="17"/>
  <c r="X271" i="17"/>
  <c r="D436" i="17"/>
  <c r="T71" i="17"/>
  <c r="U231" i="17"/>
  <c r="D455" i="17"/>
  <c r="R351" i="17"/>
  <c r="X431" i="17"/>
  <c r="D432" i="17"/>
  <c r="P591" i="17"/>
  <c r="P391" i="17"/>
  <c r="D462" i="17"/>
  <c r="AC471" i="17"/>
  <c r="D434" i="17"/>
  <c r="D485" i="17"/>
  <c r="S511" i="17"/>
  <c r="D496" i="17"/>
  <c r="R111" i="17"/>
  <c r="D489" i="17"/>
  <c r="D441" i="17"/>
  <c r="D530" i="17"/>
  <c r="Y191" i="17"/>
  <c r="D459" i="17"/>
  <c r="D469" i="17"/>
  <c r="D506" i="17"/>
  <c r="D547" i="17"/>
  <c r="S551" i="17"/>
  <c r="U311" i="17"/>
  <c r="Q31" i="17"/>
  <c r="AF631" i="17"/>
  <c r="D508" i="17"/>
  <c r="D477" i="17"/>
  <c r="D483" i="17"/>
  <c r="O2" i="40"/>
  <c r="L23" i="43"/>
  <c r="L30" i="43"/>
  <c r="L27" i="43"/>
  <c r="V2" i="45"/>
  <c r="U11" i="45"/>
  <c r="U12" i="45"/>
  <c r="U20" i="45"/>
  <c r="U21" i="45"/>
  <c r="M28" i="43"/>
  <c r="M21" i="43"/>
  <c r="N8" i="43"/>
  <c r="M9" i="43"/>
  <c r="M10" i="43"/>
  <c r="M2" i="41"/>
  <c r="L14" i="43"/>
  <c r="L15" i="43"/>
  <c r="L20" i="43" s="1"/>
  <c r="N2" i="44"/>
  <c r="K22" i="43"/>
  <c r="K12" i="43"/>
  <c r="L11" i="43"/>
  <c r="K5" i="42"/>
  <c r="L3" i="40" s="1"/>
  <c r="L4" i="41"/>
  <c r="N7" i="42"/>
  <c r="M64" i="42"/>
  <c r="M29" i="42"/>
  <c r="K51" i="41"/>
  <c r="D479" i="17" l="1"/>
  <c r="D482" i="17"/>
  <c r="D491" i="17"/>
  <c r="D471" i="17"/>
  <c r="D501" i="17"/>
  <c r="D532" i="17"/>
  <c r="D484" i="17"/>
  <c r="D470" i="17"/>
  <c r="E470" i="17" s="1"/>
  <c r="D498" i="17"/>
  <c r="D487" i="17"/>
  <c r="D486" i="17"/>
  <c r="D545" i="17"/>
  <c r="D475" i="17"/>
  <c r="D493" i="17"/>
  <c r="D473" i="17"/>
  <c r="D478" i="17"/>
  <c r="D504" i="17"/>
  <c r="D500" i="17"/>
  <c r="D472" i="17"/>
  <c r="Y271" i="17"/>
  <c r="D474" i="17"/>
  <c r="D520" i="17"/>
  <c r="D517" i="17"/>
  <c r="D546" i="17"/>
  <c r="Y431" i="17"/>
  <c r="S111" i="17"/>
  <c r="D548" i="17"/>
  <c r="D536" i="17"/>
  <c r="Q391" i="17"/>
  <c r="D494" i="17"/>
  <c r="V311" i="17"/>
  <c r="D509" i="17"/>
  <c r="D499" i="17"/>
  <c r="Q591" i="17"/>
  <c r="R31" i="17"/>
  <c r="D529" i="17"/>
  <c r="D502" i="17"/>
  <c r="D528" i="17"/>
  <c r="D495" i="17"/>
  <c r="D587" i="17"/>
  <c r="D523" i="17"/>
  <c r="S351" i="17"/>
  <c r="Y151" i="17"/>
  <c r="D481" i="17"/>
  <c r="U71" i="17"/>
  <c r="D476" i="17"/>
  <c r="T551" i="17"/>
  <c r="AD471" i="17"/>
  <c r="D543" i="17"/>
  <c r="Z191" i="17"/>
  <c r="T511" i="17"/>
  <c r="D525" i="17"/>
  <c r="AG631" i="17"/>
  <c r="D570" i="17"/>
  <c r="V231" i="17"/>
  <c r="D537" i="17"/>
  <c r="L5" i="42"/>
  <c r="M3" i="40" s="1"/>
  <c r="M4" i="41"/>
  <c r="L22" i="43"/>
  <c r="P2" i="40"/>
  <c r="N2" i="41"/>
  <c r="L5" i="40"/>
  <c r="N21" i="43"/>
  <c r="N28" i="43"/>
  <c r="N9" i="43"/>
  <c r="N10" i="43"/>
  <c r="O8" i="43"/>
  <c r="L12" i="43"/>
  <c r="M11" i="43"/>
  <c r="W2" i="45"/>
  <c r="V12" i="45"/>
  <c r="V11" i="45"/>
  <c r="V21" i="45"/>
  <c r="V20" i="45"/>
  <c r="M14" i="43"/>
  <c r="M15" i="43"/>
  <c r="M20" i="43" s="1"/>
  <c r="N64" i="42"/>
  <c r="O7" i="42"/>
  <c r="N29" i="42"/>
  <c r="M30" i="43"/>
  <c r="M23" i="43"/>
  <c r="M27" i="43"/>
  <c r="O2" i="44"/>
  <c r="L51" i="41"/>
  <c r="D511" i="17" l="1"/>
  <c r="D540" i="17"/>
  <c r="D510" i="17"/>
  <c r="E510" i="17" s="1"/>
  <c r="D531" i="17"/>
  <c r="D513" i="17"/>
  <c r="D527" i="17"/>
  <c r="D518" i="17"/>
  <c r="D572" i="17"/>
  <c r="D524" i="17"/>
  <c r="D544" i="17"/>
  <c r="D522" i="17"/>
  <c r="D526" i="17"/>
  <c r="D533" i="17"/>
  <c r="D541" i="17"/>
  <c r="D515" i="17"/>
  <c r="D538" i="17"/>
  <c r="D585" i="17"/>
  <c r="D519" i="17"/>
  <c r="D542" i="17"/>
  <c r="AH631" i="17"/>
  <c r="D549" i="17"/>
  <c r="D586" i="17"/>
  <c r="D557" i="17"/>
  <c r="V71" i="17"/>
  <c r="D539" i="17"/>
  <c r="D565" i="17"/>
  <c r="T351" i="17"/>
  <c r="AA191" i="17"/>
  <c r="D563" i="17"/>
  <c r="W311" i="17"/>
  <c r="D560" i="17"/>
  <c r="Z151" i="17"/>
  <c r="D534" i="17"/>
  <c r="T111" i="17"/>
  <c r="D569" i="17"/>
  <c r="U511" i="17"/>
  <c r="AE471" i="17"/>
  <c r="S31" i="17"/>
  <c r="R391" i="17"/>
  <c r="W231" i="17"/>
  <c r="R591" i="17"/>
  <c r="D588" i="17"/>
  <c r="D512" i="17"/>
  <c r="D521" i="17"/>
  <c r="D583" i="17"/>
  <c r="D627" i="17"/>
  <c r="D535" i="17"/>
  <c r="D516" i="17"/>
  <c r="D568" i="17"/>
  <c r="Z431" i="17"/>
  <c r="D514" i="17"/>
  <c r="D577" i="17"/>
  <c r="U551" i="17"/>
  <c r="Z271" i="17"/>
  <c r="D576" i="17"/>
  <c r="D610" i="17"/>
  <c r="X2" i="45"/>
  <c r="W12" i="45"/>
  <c r="W11" i="45"/>
  <c r="W20" i="45"/>
  <c r="W21" i="45"/>
  <c r="P2" i="44"/>
  <c r="M22" i="43"/>
  <c r="M5" i="42"/>
  <c r="N3" i="40" s="1"/>
  <c r="N4" i="41"/>
  <c r="Q2" i="40"/>
  <c r="M5" i="40"/>
  <c r="M12" i="43"/>
  <c r="N11" i="43"/>
  <c r="O64" i="42"/>
  <c r="O29" i="42"/>
  <c r="P7" i="42"/>
  <c r="N23" i="43"/>
  <c r="N30" i="43"/>
  <c r="N27" i="43"/>
  <c r="N14" i="43"/>
  <c r="N15" i="43"/>
  <c r="N20" i="43" s="1"/>
  <c r="M51" i="41"/>
  <c r="O21" i="43"/>
  <c r="O28" i="43"/>
  <c r="O9" i="43"/>
  <c r="O10" i="43"/>
  <c r="P8" i="43"/>
  <c r="O2" i="41"/>
  <c r="D564" i="17" l="1"/>
  <c r="D559" i="17"/>
  <c r="D578" i="17"/>
  <c r="D553" i="17"/>
  <c r="D581" i="17"/>
  <c r="D612" i="17"/>
  <c r="D571" i="17"/>
  <c r="D550" i="17"/>
  <c r="E550" i="17" s="1"/>
  <c r="D558" i="17"/>
  <c r="D555" i="17"/>
  <c r="D566" i="17"/>
  <c r="D580" i="17"/>
  <c r="D562" i="17"/>
  <c r="D584" i="17"/>
  <c r="D551" i="17"/>
  <c r="D625" i="17"/>
  <c r="D567" i="17"/>
  <c r="D573" i="17"/>
  <c r="AA151" i="17"/>
  <c r="W71" i="17"/>
  <c r="D617" i="17"/>
  <c r="T31" i="17"/>
  <c r="AF471" i="17"/>
  <c r="AB191" i="17"/>
  <c r="AA431" i="17"/>
  <c r="V511" i="17"/>
  <c r="D600" i="17"/>
  <c r="S391" i="17"/>
  <c r="D554" i="17"/>
  <c r="D597" i="17"/>
  <c r="D603" i="17"/>
  <c r="D626" i="17"/>
  <c r="D650" i="17"/>
  <c r="D690" i="17" s="1"/>
  <c r="U351" i="17"/>
  <c r="D608" i="17"/>
  <c r="D609" i="17"/>
  <c r="D589" i="17"/>
  <c r="D561" i="17"/>
  <c r="AI631" i="17"/>
  <c r="X311" i="17"/>
  <c r="D552" i="17"/>
  <c r="U111" i="17"/>
  <c r="D605" i="17"/>
  <c r="AA271" i="17"/>
  <c r="D628" i="17"/>
  <c r="D579" i="17"/>
  <c r="V551" i="17"/>
  <c r="X231" i="17"/>
  <c r="D667" i="17"/>
  <c r="D707" i="17" s="1"/>
  <c r="D623" i="17"/>
  <c r="D556" i="17"/>
  <c r="D616" i="17"/>
  <c r="D574" i="17"/>
  <c r="D575" i="17"/>
  <c r="S591" i="17"/>
  <c r="D582" i="17"/>
  <c r="N22" i="43"/>
  <c r="Y2" i="45"/>
  <c r="X12" i="45"/>
  <c r="X11" i="45"/>
  <c r="X21" i="45"/>
  <c r="X20" i="45"/>
  <c r="Q2" i="44"/>
  <c r="N51" i="41"/>
  <c r="N5" i="42"/>
  <c r="O3" i="40" s="1"/>
  <c r="O4" i="41"/>
  <c r="P21" i="43"/>
  <c r="Q8" i="43"/>
  <c r="P10" i="43"/>
  <c r="P9" i="43"/>
  <c r="P28" i="43"/>
  <c r="N12" i="43"/>
  <c r="O11" i="43"/>
  <c r="N5" i="40"/>
  <c r="P2" i="41"/>
  <c r="O23" i="43"/>
  <c r="O30" i="43"/>
  <c r="O27" i="43"/>
  <c r="R2" i="40"/>
  <c r="O14" i="43"/>
  <c r="O15" i="43"/>
  <c r="O20" i="43" s="1"/>
  <c r="Q7" i="42"/>
  <c r="P64" i="42"/>
  <c r="P29" i="42"/>
  <c r="D606" i="17" l="1"/>
  <c r="D624" i="17"/>
  <c r="D618" i="17"/>
  <c r="D599" i="17"/>
  <c r="D604" i="17"/>
  <c r="D620" i="17"/>
  <c r="D611" i="17"/>
  <c r="D593" i="17"/>
  <c r="D595" i="17"/>
  <c r="D621" i="17"/>
  <c r="D591" i="17"/>
  <c r="D613" i="17"/>
  <c r="D598" i="17"/>
  <c r="D602" i="17"/>
  <c r="D607" i="17"/>
  <c r="D652" i="17"/>
  <c r="D692" i="17" s="1"/>
  <c r="D590" i="17"/>
  <c r="E590" i="17" s="1"/>
  <c r="D665" i="17"/>
  <c r="D705" i="17" s="1"/>
  <c r="D666" i="17"/>
  <c r="D706" i="17" s="1"/>
  <c r="AC191" i="17"/>
  <c r="D619" i="17"/>
  <c r="Y231" i="17"/>
  <c r="D637" i="17"/>
  <c r="D677" i="17" s="1"/>
  <c r="T591" i="17"/>
  <c r="AG471" i="17"/>
  <c r="D615" i="17"/>
  <c r="D594" i="17"/>
  <c r="D629" i="17"/>
  <c r="AB271" i="17"/>
  <c r="D649" i="17"/>
  <c r="D689" i="17" s="1"/>
  <c r="X71" i="17"/>
  <c r="AB431" i="17"/>
  <c r="D643" i="17"/>
  <c r="D683" i="17" s="1"/>
  <c r="D622" i="17"/>
  <c r="W551" i="17"/>
  <c r="D614" i="17"/>
  <c r="D668" i="17"/>
  <c r="D708" i="17" s="1"/>
  <c r="T391" i="17"/>
  <c r="D596" i="17"/>
  <c r="D592" i="17"/>
  <c r="D648" i="17"/>
  <c r="D688" i="17" s="1"/>
  <c r="V111" i="17"/>
  <c r="Y311" i="17"/>
  <c r="AJ631" i="17"/>
  <c r="D601" i="17"/>
  <c r="U31" i="17"/>
  <c r="D640" i="17"/>
  <c r="D680" i="17" s="1"/>
  <c r="D657" i="17"/>
  <c r="D697" i="17" s="1"/>
  <c r="D656" i="17"/>
  <c r="D696" i="17" s="1"/>
  <c r="D645" i="17"/>
  <c r="D685" i="17" s="1"/>
  <c r="W511" i="17"/>
  <c r="D663" i="17"/>
  <c r="D703" i="17" s="1"/>
  <c r="V351" i="17"/>
  <c r="AB151" i="17"/>
  <c r="O22" i="43"/>
  <c r="Q64" i="42"/>
  <c r="Q29" i="42"/>
  <c r="R7" i="42"/>
  <c r="R2" i="44"/>
  <c r="O51" i="41"/>
  <c r="P11" i="43"/>
  <c r="O12" i="43"/>
  <c r="Z2" i="45"/>
  <c r="Y11" i="45"/>
  <c r="Y12" i="45"/>
  <c r="Y21" i="45"/>
  <c r="Y20" i="45"/>
  <c r="O5" i="42"/>
  <c r="P3" i="40" s="1"/>
  <c r="P4" i="41"/>
  <c r="P30" i="43"/>
  <c r="P23" i="43"/>
  <c r="P27" i="43"/>
  <c r="Q2" i="41"/>
  <c r="Q21" i="43"/>
  <c r="Q10" i="43"/>
  <c r="Q9" i="43"/>
  <c r="R8" i="43"/>
  <c r="Q28" i="43"/>
  <c r="O5" i="40"/>
  <c r="P14" i="43"/>
  <c r="P15" i="43"/>
  <c r="P20" i="43" s="1"/>
  <c r="S2" i="40"/>
  <c r="D661" i="17" l="1"/>
  <c r="D701" i="17" s="1"/>
  <c r="D644" i="17"/>
  <c r="D684" i="17" s="1"/>
  <c r="D646" i="17"/>
  <c r="D686" i="17" s="1"/>
  <c r="D638" i="17"/>
  <c r="D678" i="17" s="1"/>
  <c r="D630" i="17"/>
  <c r="D660" i="17"/>
  <c r="D700" i="17" s="1"/>
  <c r="D647" i="17"/>
  <c r="D687" i="17" s="1"/>
  <c r="D639" i="17"/>
  <c r="D679" i="17" s="1"/>
  <c r="D635" i="17"/>
  <c r="D675" i="17" s="1"/>
  <c r="D642" i="17"/>
  <c r="D682" i="17" s="1"/>
  <c r="D633" i="17"/>
  <c r="D673" i="17" s="1"/>
  <c r="D653" i="17"/>
  <c r="D693" i="17" s="1"/>
  <c r="D658" i="17"/>
  <c r="D698" i="17" s="1"/>
  <c r="D631" i="17"/>
  <c r="D671" i="17" s="1"/>
  <c r="D651" i="17"/>
  <c r="D691" i="17" s="1"/>
  <c r="D664" i="17"/>
  <c r="D704" i="17" s="1"/>
  <c r="D641" i="17"/>
  <c r="D681" i="17" s="1"/>
  <c r="D669" i="17"/>
  <c r="D709" i="17" s="1"/>
  <c r="D655" i="17"/>
  <c r="D695" i="17" s="1"/>
  <c r="X551" i="17"/>
  <c r="AH471" i="17"/>
  <c r="D662" i="17"/>
  <c r="D702" i="17" s="1"/>
  <c r="D659" i="17"/>
  <c r="D699" i="17" s="1"/>
  <c r="W351" i="17"/>
  <c r="Z311" i="17"/>
  <c r="Y71" i="17"/>
  <c r="W111" i="17"/>
  <c r="AD191" i="17"/>
  <c r="D654" i="17"/>
  <c r="D694" i="17" s="1"/>
  <c r="U591" i="17"/>
  <c r="Z231" i="17"/>
  <c r="D636" i="17"/>
  <c r="D676" i="17" s="1"/>
  <c r="D634" i="17"/>
  <c r="D674" i="17" s="1"/>
  <c r="V31" i="17"/>
  <c r="AC151" i="17"/>
  <c r="AK631" i="17"/>
  <c r="AC431" i="17"/>
  <c r="D632" i="17"/>
  <c r="D672" i="17" s="1"/>
  <c r="X511" i="17"/>
  <c r="U391" i="17"/>
  <c r="AC271" i="17"/>
  <c r="P51" i="41"/>
  <c r="P5" i="40"/>
  <c r="P22" i="43"/>
  <c r="P5" i="42"/>
  <c r="Q3" i="40" s="1"/>
  <c r="Q4" i="41"/>
  <c r="AA2" i="45"/>
  <c r="Z12" i="45"/>
  <c r="Z11" i="45"/>
  <c r="Z21" i="45"/>
  <c r="Z20" i="45"/>
  <c r="S2" i="44"/>
  <c r="R2" i="41"/>
  <c r="Q15" i="43"/>
  <c r="Q20" i="43" s="1"/>
  <c r="Q14" i="43"/>
  <c r="Q30" i="43"/>
  <c r="Q23" i="43"/>
  <c r="Q27" i="43"/>
  <c r="T2" i="40"/>
  <c r="R64" i="42"/>
  <c r="S7" i="42"/>
  <c r="R29" i="42"/>
  <c r="Q11" i="43"/>
  <c r="P12" i="43"/>
  <c r="R21" i="43"/>
  <c r="S8" i="43"/>
  <c r="R10" i="43"/>
  <c r="R9" i="43"/>
  <c r="R28" i="43"/>
  <c r="D670" i="17" l="1"/>
  <c r="E670" i="17" s="1"/>
  <c r="E630" i="17"/>
  <c r="E6" i="17"/>
  <c r="X351" i="17"/>
  <c r="AD151" i="17"/>
  <c r="AA231" i="17"/>
  <c r="V391" i="17"/>
  <c r="Y511" i="17"/>
  <c r="W31" i="17"/>
  <c r="V591" i="17"/>
  <c r="AE191" i="17"/>
  <c r="Z71" i="17"/>
  <c r="AI471" i="17"/>
  <c r="X111" i="17"/>
  <c r="AL631" i="17"/>
  <c r="AA311" i="17"/>
  <c r="Y551" i="17"/>
  <c r="AD271" i="17"/>
  <c r="AD431" i="17"/>
  <c r="Q5" i="42"/>
  <c r="R3" i="40" s="1"/>
  <c r="R4" i="41"/>
  <c r="S29" i="42"/>
  <c r="S64" i="42"/>
  <c r="T7" i="42"/>
  <c r="R14" i="43"/>
  <c r="R15" i="43"/>
  <c r="R20" i="43" s="1"/>
  <c r="S28" i="43"/>
  <c r="S9" i="43"/>
  <c r="S21" i="43"/>
  <c r="S10" i="43"/>
  <c r="T8" i="43"/>
  <c r="AB2" i="45"/>
  <c r="AA11" i="45"/>
  <c r="AA12" i="45"/>
  <c r="AA21" i="45"/>
  <c r="AA20" i="45"/>
  <c r="Q5" i="40"/>
  <c r="S2" i="41"/>
  <c r="R23" i="43"/>
  <c r="R30" i="43"/>
  <c r="R27" i="43"/>
  <c r="Q22" i="43"/>
  <c r="U2" i="40"/>
  <c r="Q51" i="41"/>
  <c r="Q12" i="43"/>
  <c r="R11" i="43"/>
  <c r="T2" i="44"/>
  <c r="AF191" i="17" l="1"/>
  <c r="AM631" i="17"/>
  <c r="W591" i="17"/>
  <c r="Y111" i="17"/>
  <c r="X31" i="17"/>
  <c r="AJ471" i="17"/>
  <c r="AB231" i="17"/>
  <c r="AA71" i="17"/>
  <c r="W391" i="17"/>
  <c r="AE271" i="17"/>
  <c r="AB311" i="17"/>
  <c r="Z511" i="17"/>
  <c r="Z551" i="17"/>
  <c r="AE151" i="17"/>
  <c r="AE431" i="17"/>
  <c r="Y351" i="17"/>
  <c r="R51" i="41"/>
  <c r="T9" i="43"/>
  <c r="U8" i="43"/>
  <c r="T28" i="43"/>
  <c r="T10" i="43"/>
  <c r="T21" i="43"/>
  <c r="S30" i="43"/>
  <c r="S23" i="43"/>
  <c r="S27" i="43"/>
  <c r="V2" i="40"/>
  <c r="T2" i="41"/>
  <c r="R22" i="43"/>
  <c r="AC2" i="45"/>
  <c r="AB11" i="45"/>
  <c r="AB12" i="45"/>
  <c r="AB21" i="45"/>
  <c r="AB20" i="45"/>
  <c r="T64" i="42"/>
  <c r="T29" i="42"/>
  <c r="U7" i="42"/>
  <c r="S14" i="43"/>
  <c r="S15" i="43"/>
  <c r="S20" i="43" s="1"/>
  <c r="U2" i="44"/>
  <c r="R12" i="43"/>
  <c r="S11" i="43"/>
  <c r="R5" i="42"/>
  <c r="S3" i="40" s="1"/>
  <c r="S4" i="41"/>
  <c r="R5" i="40"/>
  <c r="Z351" i="17" l="1"/>
  <c r="Z111" i="17"/>
  <c r="AA511" i="17"/>
  <c r="AN631" i="17"/>
  <c r="X391" i="17"/>
  <c r="AB71" i="17"/>
  <c r="AF431" i="17"/>
  <c r="Y31" i="17"/>
  <c r="AF151" i="17"/>
  <c r="AA551" i="17"/>
  <c r="X591" i="17"/>
  <c r="AF271" i="17"/>
  <c r="AC231" i="17"/>
  <c r="AK471" i="17"/>
  <c r="AC311" i="17"/>
  <c r="AG191" i="17"/>
  <c r="S5" i="42"/>
  <c r="T3" i="40" s="1"/>
  <c r="T4" i="41"/>
  <c r="V2" i="44"/>
  <c r="AD2" i="45"/>
  <c r="AC12" i="45"/>
  <c r="I12" i="45" s="1"/>
  <c r="AC11" i="45"/>
  <c r="I11" i="45" s="1"/>
  <c r="AC20" i="45"/>
  <c r="I20" i="45" s="1"/>
  <c r="AC21" i="45"/>
  <c r="I21" i="45" s="1"/>
  <c r="T30" i="43"/>
  <c r="T23" i="43"/>
  <c r="T27" i="43"/>
  <c r="U28" i="43"/>
  <c r="U10" i="43"/>
  <c r="U21" i="43"/>
  <c r="V8" i="43"/>
  <c r="U9" i="43"/>
  <c r="S22" i="43"/>
  <c r="U2" i="41"/>
  <c r="T14" i="43"/>
  <c r="T15" i="43"/>
  <c r="T20" i="43" s="1"/>
  <c r="S5" i="40"/>
  <c r="S51" i="41"/>
  <c r="W2" i="40"/>
  <c r="S12" i="43"/>
  <c r="T11" i="43"/>
  <c r="U64" i="42"/>
  <c r="U29" i="42"/>
  <c r="V7" i="42"/>
  <c r="AD311" i="17" l="1"/>
  <c r="AA111" i="17"/>
  <c r="AG151" i="17"/>
  <c r="Z31" i="17"/>
  <c r="AC71" i="17"/>
  <c r="AD231" i="17"/>
  <c r="AG271" i="17"/>
  <c r="Y391" i="17"/>
  <c r="AB511" i="17"/>
  <c r="AB551" i="17"/>
  <c r="AG431" i="17"/>
  <c r="AH191" i="17"/>
  <c r="AL471" i="17"/>
  <c r="AO631" i="17"/>
  <c r="Y591" i="17"/>
  <c r="AA351" i="17"/>
  <c r="T51" i="41"/>
  <c r="T5" i="42"/>
  <c r="U3" i="40" s="1"/>
  <c r="U5" i="40" s="1"/>
  <c r="U4" i="41"/>
  <c r="T22" i="43"/>
  <c r="V64" i="42"/>
  <c r="V29" i="42"/>
  <c r="W7" i="42"/>
  <c r="T5" i="40"/>
  <c r="V9" i="43"/>
  <c r="V10" i="43"/>
  <c r="W8" i="43"/>
  <c r="V28" i="43"/>
  <c r="V21" i="43"/>
  <c r="V2" i="41"/>
  <c r="AE2" i="45"/>
  <c r="AD11" i="45"/>
  <c r="AD12" i="45"/>
  <c r="AD21" i="45"/>
  <c r="AD20" i="45"/>
  <c r="X2" i="40"/>
  <c r="U15" i="43"/>
  <c r="U20" i="43" s="1"/>
  <c r="U14" i="43"/>
  <c r="U30" i="43"/>
  <c r="U23" i="43"/>
  <c r="U27" i="43"/>
  <c r="T12" i="43"/>
  <c r="U11" i="43"/>
  <c r="W2" i="44"/>
  <c r="AA31" i="17" l="1"/>
  <c r="AM471" i="17"/>
  <c r="AH151" i="17"/>
  <c r="Z391" i="17"/>
  <c r="AH271" i="17"/>
  <c r="AB351" i="17"/>
  <c r="AE231" i="17"/>
  <c r="AD71" i="17"/>
  <c r="Z591" i="17"/>
  <c r="AI191" i="17"/>
  <c r="AC551" i="17"/>
  <c r="AC511" i="17"/>
  <c r="AB111" i="17"/>
  <c r="AH431" i="17"/>
  <c r="AE311" i="17"/>
  <c r="V14" i="43"/>
  <c r="V15" i="43"/>
  <c r="V20" i="43" s="1"/>
  <c r="W9" i="43"/>
  <c r="W10" i="43"/>
  <c r="X8" i="43"/>
  <c r="W21" i="43"/>
  <c r="W28" i="43"/>
  <c r="V30" i="43"/>
  <c r="V27" i="43"/>
  <c r="V23" i="43"/>
  <c r="W64" i="42"/>
  <c r="W29" i="42"/>
  <c r="X7" i="42"/>
  <c r="Y2" i="40"/>
  <c r="U5" i="42"/>
  <c r="V3" i="40" s="1"/>
  <c r="V4" i="41"/>
  <c r="X2" i="44"/>
  <c r="W2" i="41"/>
  <c r="U51" i="41"/>
  <c r="U22" i="43"/>
  <c r="AF2" i="45"/>
  <c r="AE12" i="45"/>
  <c r="AE11" i="45"/>
  <c r="AE21" i="45"/>
  <c r="AE20" i="45"/>
  <c r="V11" i="43"/>
  <c r="U12" i="43"/>
  <c r="AF231" i="17" l="1"/>
  <c r="AA591" i="17"/>
  <c r="AE71" i="17"/>
  <c r="AC351" i="17"/>
  <c r="AJ191" i="17"/>
  <c r="AA391" i="17"/>
  <c r="AB31" i="17"/>
  <c r="AF311" i="17"/>
  <c r="AI271" i="17"/>
  <c r="AI431" i="17"/>
  <c r="AC111" i="17"/>
  <c r="AI151" i="17"/>
  <c r="AD511" i="17"/>
  <c r="AN471" i="17"/>
  <c r="AD551" i="17"/>
  <c r="X64" i="42"/>
  <c r="X29" i="42"/>
  <c r="Y7" i="42"/>
  <c r="V5" i="40"/>
  <c r="V5" i="42"/>
  <c r="W3" i="40" s="1"/>
  <c r="W4" i="41"/>
  <c r="V12" i="43"/>
  <c r="W11" i="43"/>
  <c r="AG2" i="45"/>
  <c r="AF11" i="45"/>
  <c r="AF12" i="45"/>
  <c r="AF21" i="45"/>
  <c r="AF20" i="45"/>
  <c r="X28" i="43"/>
  <c r="Y8" i="43"/>
  <c r="X21" i="43"/>
  <c r="X10" i="43"/>
  <c r="X9" i="43"/>
  <c r="Y2" i="44"/>
  <c r="Z2" i="40"/>
  <c r="W23" i="43"/>
  <c r="W30" i="43"/>
  <c r="W27" i="43"/>
  <c r="V22" i="43"/>
  <c r="V51" i="41"/>
  <c r="W14" i="43"/>
  <c r="W15" i="43"/>
  <c r="W20" i="43" s="1"/>
  <c r="X2" i="41"/>
  <c r="AD351" i="17" l="1"/>
  <c r="AK191" i="17"/>
  <c r="AJ431" i="17"/>
  <c r="AG311" i="17"/>
  <c r="AE551" i="17"/>
  <c r="AE511" i="17"/>
  <c r="AF71" i="17"/>
  <c r="AJ271" i="17"/>
  <c r="AC31" i="17"/>
  <c r="AB391" i="17"/>
  <c r="AB591" i="17"/>
  <c r="AO471" i="17"/>
  <c r="AJ151" i="17"/>
  <c r="AD111" i="17"/>
  <c r="AG231" i="17"/>
  <c r="Z7" i="42"/>
  <c r="Y64" i="42"/>
  <c r="Y29" i="42"/>
  <c r="X14" i="43"/>
  <c r="X15" i="43"/>
  <c r="X20" i="43" s="1"/>
  <c r="X30" i="43"/>
  <c r="X23" i="43"/>
  <c r="X27" i="43"/>
  <c r="W22" i="43"/>
  <c r="AA2" i="40"/>
  <c r="Y21" i="43"/>
  <c r="Z8" i="43"/>
  <c r="Y10" i="43"/>
  <c r="Y9" i="43"/>
  <c r="Y28" i="43"/>
  <c r="W12" i="43"/>
  <c r="X11" i="43"/>
  <c r="Z2" i="44"/>
  <c r="W5" i="40"/>
  <c r="AH2" i="45"/>
  <c r="AG11" i="45"/>
  <c r="AG12" i="45"/>
  <c r="AG20" i="45"/>
  <c r="AG21" i="45"/>
  <c r="W51" i="41"/>
  <c r="W5" i="42"/>
  <c r="X3" i="40" s="1"/>
  <c r="X4" i="41"/>
  <c r="Y2" i="41"/>
  <c r="AF511" i="17" l="1"/>
  <c r="AC391" i="17"/>
  <c r="AD31" i="17"/>
  <c r="AE111" i="17"/>
  <c r="AK271" i="17"/>
  <c r="AH231" i="17"/>
  <c r="AF551" i="17"/>
  <c r="AK151" i="17"/>
  <c r="AK431" i="17"/>
  <c r="AG71" i="17"/>
  <c r="AH311" i="17"/>
  <c r="AL191" i="17"/>
  <c r="AC591" i="17"/>
  <c r="AE351" i="17"/>
  <c r="Y14" i="43"/>
  <c r="Y15" i="43"/>
  <c r="Y20" i="43" s="1"/>
  <c r="Z29" i="42"/>
  <c r="Z64" i="42"/>
  <c r="AA7" i="42"/>
  <c r="Y30" i="43"/>
  <c r="Y23" i="43"/>
  <c r="Y27" i="43"/>
  <c r="X22" i="43"/>
  <c r="Z2" i="41"/>
  <c r="AA2" i="44"/>
  <c r="Z21" i="43"/>
  <c r="AA8" i="43"/>
  <c r="Z10" i="43"/>
  <c r="Z9" i="43"/>
  <c r="Z28" i="43"/>
  <c r="AH11" i="45"/>
  <c r="AH12" i="45"/>
  <c r="AH21" i="45"/>
  <c r="AH20" i="45"/>
  <c r="AB2" i="40"/>
  <c r="X5" i="42"/>
  <c r="Y3" i="40" s="1"/>
  <c r="Y4" i="41"/>
  <c r="X5" i="40"/>
  <c r="X51" i="41"/>
  <c r="Y11" i="43"/>
  <c r="X12" i="43"/>
  <c r="AH71" i="17" l="1"/>
  <c r="AF351" i="17"/>
  <c r="AG511" i="17"/>
  <c r="AD591" i="17"/>
  <c r="AE31" i="17"/>
  <c r="AL431" i="17"/>
  <c r="AL151" i="17"/>
  <c r="AI231" i="17"/>
  <c r="AD391" i="17"/>
  <c r="AG551" i="17"/>
  <c r="AL271" i="17"/>
  <c r="AF111" i="17"/>
  <c r="AM191" i="17"/>
  <c r="AI311" i="17"/>
  <c r="Y22" i="43"/>
  <c r="Z11" i="43"/>
  <c r="Y12" i="43"/>
  <c r="AA2" i="41"/>
  <c r="Z15" i="43"/>
  <c r="Z20" i="43" s="1"/>
  <c r="Z14" i="43"/>
  <c r="AC2" i="40"/>
  <c r="AB8" i="43"/>
  <c r="AA28" i="43"/>
  <c r="AA10" i="43"/>
  <c r="AA9" i="43"/>
  <c r="AA21" i="43"/>
  <c r="Z30" i="43"/>
  <c r="Z23" i="43"/>
  <c r="Z27" i="43"/>
  <c r="Y51" i="41"/>
  <c r="AB2" i="44"/>
  <c r="Y5" i="40"/>
  <c r="AA29" i="42"/>
  <c r="AA64" i="42"/>
  <c r="AB7" i="42"/>
  <c r="Y5" i="42"/>
  <c r="Z3" i="40" s="1"/>
  <c r="Z5" i="40" s="1"/>
  <c r="Z4" i="41"/>
  <c r="AN191" i="17" l="1"/>
  <c r="AH511" i="17"/>
  <c r="AJ231" i="17"/>
  <c r="AM151" i="17"/>
  <c r="AH551" i="17"/>
  <c r="AE391" i="17"/>
  <c r="AM431" i="17"/>
  <c r="AF31" i="17"/>
  <c r="AJ311" i="17"/>
  <c r="AI71" i="17"/>
  <c r="AE591" i="17"/>
  <c r="AG111" i="17"/>
  <c r="AG351" i="17"/>
  <c r="AM271" i="17"/>
  <c r="AB64" i="42"/>
  <c r="AB29" i="42"/>
  <c r="AC7" i="42"/>
  <c r="AA11" i="43"/>
  <c r="Z12" i="43"/>
  <c r="AD2" i="40"/>
  <c r="AA15" i="43"/>
  <c r="AA20" i="43" s="1"/>
  <c r="AA14" i="43"/>
  <c r="AA23" i="43"/>
  <c r="AA30" i="43"/>
  <c r="AA27" i="43"/>
  <c r="AB10" i="43"/>
  <c r="AB9" i="43"/>
  <c r="AB21" i="43"/>
  <c r="AC8" i="43"/>
  <c r="AB28" i="43"/>
  <c r="AB2" i="41"/>
  <c r="Z22" i="43"/>
  <c r="Z51" i="41"/>
  <c r="AA4" i="41"/>
  <c r="Z5" i="42"/>
  <c r="AA3" i="40" s="1"/>
  <c r="AC2" i="44"/>
  <c r="AO191" i="17" l="1"/>
  <c r="AK311" i="17"/>
  <c r="AJ71" i="17"/>
  <c r="AG31" i="17"/>
  <c r="AN431" i="17"/>
  <c r="AF391" i="17"/>
  <c r="AK231" i="17"/>
  <c r="AF591" i="17"/>
  <c r="AI551" i="17"/>
  <c r="AN271" i="17"/>
  <c r="AN151" i="17"/>
  <c r="AH351" i="17"/>
  <c r="AH111" i="17"/>
  <c r="AI511" i="17"/>
  <c r="AC21" i="43"/>
  <c r="AC10" i="43"/>
  <c r="AC9" i="43"/>
  <c r="AD8" i="43"/>
  <c r="AC28" i="43"/>
  <c r="AB15" i="43"/>
  <c r="AB20" i="43" s="1"/>
  <c r="AB14" i="43"/>
  <c r="AA5" i="40"/>
  <c r="AC64" i="42"/>
  <c r="AD7" i="42"/>
  <c r="AC29" i="42"/>
  <c r="AB30" i="43"/>
  <c r="AB23" i="43"/>
  <c r="AB27" i="43"/>
  <c r="AA22" i="43"/>
  <c r="AC2" i="41"/>
  <c r="AA51" i="41"/>
  <c r="AB11" i="43"/>
  <c r="AA12" i="43"/>
  <c r="AA5" i="42"/>
  <c r="AB3" i="40" s="1"/>
  <c r="AB5" i="40" s="1"/>
  <c r="AB4" i="41"/>
  <c r="AE2" i="40"/>
  <c r="AD2" i="44"/>
  <c r="AJ551" i="17" l="1"/>
  <c r="AI111" i="17"/>
  <c r="AO271" i="17"/>
  <c r="AK71" i="17"/>
  <c r="AG591" i="17"/>
  <c r="AL231" i="17"/>
  <c r="AJ511" i="17"/>
  <c r="AG391" i="17"/>
  <c r="AO431" i="17"/>
  <c r="AH31" i="17"/>
  <c r="AI351" i="17"/>
  <c r="AL311" i="17"/>
  <c r="AO151" i="17"/>
  <c r="AB51" i="41"/>
  <c r="AB5" i="42"/>
  <c r="AC3" i="40" s="1"/>
  <c r="AC5" i="40" s="1"/>
  <c r="AC4" i="41"/>
  <c r="AB22" i="43"/>
  <c r="AD2" i="41"/>
  <c r="AB12" i="43"/>
  <c r="AC11" i="43"/>
  <c r="AE2" i="44"/>
  <c r="AD28" i="43"/>
  <c r="AD21" i="43"/>
  <c r="AE8" i="43"/>
  <c r="AD9" i="43"/>
  <c r="AD10" i="43"/>
  <c r="AC15" i="43"/>
  <c r="AC20" i="43" s="1"/>
  <c r="AC14" i="43"/>
  <c r="AF2" i="40"/>
  <c r="AC23" i="43"/>
  <c r="AC27" i="43"/>
  <c r="AC30" i="43"/>
  <c r="AD29" i="42"/>
  <c r="AE7" i="42"/>
  <c r="AD64" i="42"/>
  <c r="AH591" i="17" l="1"/>
  <c r="AL71" i="17"/>
  <c r="AK511" i="17"/>
  <c r="AH391" i="17"/>
  <c r="AI31" i="17"/>
  <c r="AM231" i="17"/>
  <c r="AM311" i="17"/>
  <c r="AJ111" i="17"/>
  <c r="AJ351" i="17"/>
  <c r="AK551" i="17"/>
  <c r="AE2" i="41"/>
  <c r="AC12" i="43"/>
  <c r="AD11" i="43"/>
  <c r="AD23" i="43"/>
  <c r="AD30" i="43"/>
  <c r="AD27" i="43"/>
  <c r="AE64" i="42"/>
  <c r="AE29" i="42"/>
  <c r="AC51" i="41"/>
  <c r="AD14" i="43"/>
  <c r="AD15" i="43"/>
  <c r="AD20" i="43" s="1"/>
  <c r="AE21" i="43"/>
  <c r="AF8" i="43"/>
  <c r="AE9" i="43"/>
  <c r="AE10" i="43"/>
  <c r="AE28" i="43"/>
  <c r="AC22" i="43"/>
  <c r="AC5" i="42"/>
  <c r="AD3" i="40" s="1"/>
  <c r="AD5" i="40" s="1"/>
  <c r="AD4" i="41"/>
  <c r="AG2" i="40"/>
  <c r="AL551" i="17" l="1"/>
  <c r="AK351" i="17"/>
  <c r="AL511" i="17"/>
  <c r="AN311" i="17"/>
  <c r="AN231" i="17"/>
  <c r="AK111" i="17"/>
  <c r="AJ31" i="17"/>
  <c r="AI391" i="17"/>
  <c r="AM71" i="17"/>
  <c r="AI591" i="17"/>
  <c r="AD51" i="41"/>
  <c r="AD5" i="42"/>
  <c r="AE3" i="40" s="1"/>
  <c r="AE5" i="40" s="1"/>
  <c r="AE4" i="41"/>
  <c r="AE5" i="42" s="1"/>
  <c r="AF3" i="40" s="1"/>
  <c r="AF5" i="40" s="1"/>
  <c r="AE23" i="43"/>
  <c r="AE27" i="43"/>
  <c r="AE30" i="43"/>
  <c r="AE14" i="43"/>
  <c r="AE15" i="43"/>
  <c r="AE20" i="43" s="1"/>
  <c r="AF10" i="43"/>
  <c r="AF21" i="43"/>
  <c r="AF9" i="43"/>
  <c r="AF28" i="43"/>
  <c r="AG8" i="43"/>
  <c r="AD12" i="43"/>
  <c r="AE11" i="43"/>
  <c r="AH2" i="40"/>
  <c r="AD22" i="43"/>
  <c r="AJ591" i="17" l="1"/>
  <c r="AN71" i="17"/>
  <c r="AM511" i="17"/>
  <c r="AL351" i="17"/>
  <c r="AJ391" i="17"/>
  <c r="AK31" i="17"/>
  <c r="AL111" i="17"/>
  <c r="AO311" i="17"/>
  <c r="AO231" i="17"/>
  <c r="AM551" i="17"/>
  <c r="AE51" i="41"/>
  <c r="AI2" i="40"/>
  <c r="AG10" i="43"/>
  <c r="AH8" i="43"/>
  <c r="AG21" i="43"/>
  <c r="AG28" i="43"/>
  <c r="AG9" i="43"/>
  <c r="AF14" i="43"/>
  <c r="AF15" i="43"/>
  <c r="AF20" i="43" s="1"/>
  <c r="AF23" i="43"/>
  <c r="AF30" i="43"/>
  <c r="AF27" i="43"/>
  <c r="AE22" i="43"/>
  <c r="AF11" i="43"/>
  <c r="AE12" i="43"/>
  <c r="AN551" i="17" l="1"/>
  <c r="AM111" i="17"/>
  <c r="AN511" i="17"/>
  <c r="AO71" i="17"/>
  <c r="AK591" i="17"/>
  <c r="AL31" i="17"/>
  <c r="AK391" i="17"/>
  <c r="AM351" i="17"/>
  <c r="AG15" i="43"/>
  <c r="AG20" i="43" s="1"/>
  <c r="AG14" i="43"/>
  <c r="AG23" i="43"/>
  <c r="AG30" i="43"/>
  <c r="AG27" i="43"/>
  <c r="AF22" i="43"/>
  <c r="AH21" i="43"/>
  <c r="AI8" i="43"/>
  <c r="AH28" i="43"/>
  <c r="AH9" i="43"/>
  <c r="AH10" i="43"/>
  <c r="AF12" i="43"/>
  <c r="AG11" i="43"/>
  <c r="AJ2" i="40"/>
  <c r="AN351" i="17" l="1"/>
  <c r="AM31" i="17"/>
  <c r="AO511" i="17"/>
  <c r="AN111" i="17"/>
  <c r="AL391" i="17"/>
  <c r="AL591" i="17"/>
  <c r="AO551" i="17"/>
  <c r="AG12" i="43"/>
  <c r="AH11" i="43"/>
  <c r="AH23" i="43"/>
  <c r="AH30" i="43"/>
  <c r="AH27" i="43"/>
  <c r="AH15" i="43"/>
  <c r="AH20" i="43" s="1"/>
  <c r="AH14" i="43"/>
  <c r="AK2" i="40"/>
  <c r="AI10" i="43"/>
  <c r="AI28" i="43"/>
  <c r="AI9" i="43"/>
  <c r="AI21" i="43"/>
  <c r="AJ8" i="43"/>
  <c r="AG22" i="43"/>
  <c r="AO111" i="17" l="1"/>
  <c r="AM591" i="17"/>
  <c r="AM391" i="17"/>
  <c r="AN31" i="17"/>
  <c r="AO351" i="17"/>
  <c r="AJ21" i="43"/>
  <c r="AK8" i="43"/>
  <c r="AJ10" i="43"/>
  <c r="AJ9" i="43"/>
  <c r="AJ28" i="43"/>
  <c r="AL2" i="40"/>
  <c r="AH22" i="43"/>
  <c r="AI11" i="43"/>
  <c r="AH12" i="43"/>
  <c r="AI15" i="43"/>
  <c r="AI20" i="43" s="1"/>
  <c r="AI14" i="43"/>
  <c r="AI23" i="43"/>
  <c r="AI30" i="43"/>
  <c r="AI27" i="43"/>
  <c r="AO31" i="17" l="1"/>
  <c r="AN391" i="17"/>
  <c r="AN591" i="17"/>
  <c r="AM2" i="40"/>
  <c r="AJ14" i="43"/>
  <c r="AJ15" i="43"/>
  <c r="AJ20" i="43" s="1"/>
  <c r="AJ23" i="43"/>
  <c r="AJ30" i="43"/>
  <c r="AJ27" i="43"/>
  <c r="AJ11" i="43"/>
  <c r="AI12" i="43"/>
  <c r="AI22" i="43"/>
  <c r="AK21" i="43"/>
  <c r="AK10" i="43"/>
  <c r="AK9" i="43"/>
  <c r="AL8" i="43"/>
  <c r="AK28" i="43"/>
  <c r="AO591" i="17" l="1"/>
  <c r="AO391" i="17"/>
  <c r="AK11" i="43"/>
  <c r="AJ12" i="43"/>
  <c r="AN2" i="40"/>
  <c r="AJ22" i="43"/>
  <c r="AL10" i="43"/>
  <c r="AM8" i="43"/>
  <c r="AL9" i="43"/>
  <c r="AL21" i="43"/>
  <c r="AL28" i="43"/>
  <c r="AK14" i="43"/>
  <c r="AK15" i="43"/>
  <c r="AK20" i="43" s="1"/>
  <c r="AK30" i="43"/>
  <c r="AK23" i="43"/>
  <c r="AK27" i="43"/>
  <c r="AK22" i="43" l="1"/>
  <c r="AL23" i="43"/>
  <c r="AL27" i="43"/>
  <c r="AL30" i="43"/>
  <c r="AO2" i="40"/>
  <c r="AL15" i="43"/>
  <c r="AL20" i="43" s="1"/>
  <c r="AL14" i="43"/>
  <c r="AL11" i="43"/>
  <c r="AK12" i="43"/>
  <c r="AM28" i="43"/>
  <c r="AM21" i="43"/>
  <c r="AM9" i="43"/>
  <c r="AM10" i="43"/>
  <c r="AN8" i="43"/>
  <c r="AM15" i="43" l="1"/>
  <c r="AM20" i="43" s="1"/>
  <c r="AM14" i="43"/>
  <c r="AP2" i="40"/>
  <c r="AL22" i="43"/>
  <c r="AM23" i="43"/>
  <c r="AM30" i="43"/>
  <c r="AM27" i="43"/>
  <c r="AL12" i="43"/>
  <c r="AM11" i="43"/>
  <c r="AN21" i="43"/>
  <c r="AN28" i="43"/>
  <c r="AN9" i="43"/>
  <c r="AO8" i="43"/>
  <c r="AN10" i="43"/>
  <c r="AM12" i="43" l="1"/>
  <c r="AN11" i="43"/>
  <c r="AO28" i="43"/>
  <c r="AO21" i="43"/>
  <c r="AO9" i="43"/>
  <c r="AO10" i="43"/>
  <c r="AP8" i="43"/>
  <c r="AN30" i="43"/>
  <c r="AN23" i="43"/>
  <c r="AN27" i="43"/>
  <c r="AN15" i="43"/>
  <c r="AN20" i="43" s="1"/>
  <c r="AN14" i="43"/>
  <c r="AM22" i="43"/>
  <c r="AN22" i="43" l="1"/>
  <c r="AO30" i="43"/>
  <c r="AO23" i="43"/>
  <c r="AO27" i="43"/>
  <c r="AO15" i="43"/>
  <c r="AO20" i="43" s="1"/>
  <c r="AO14" i="43"/>
  <c r="AN12" i="43"/>
  <c r="AO11" i="43"/>
  <c r="AP28" i="43"/>
  <c r="AP21" i="43"/>
  <c r="AP10" i="43"/>
  <c r="AQ8" i="43"/>
  <c r="AP9" i="43"/>
  <c r="AO22" i="43" l="1"/>
  <c r="AP14" i="43"/>
  <c r="AP15" i="43"/>
  <c r="AP20" i="43" s="1"/>
  <c r="AQ28" i="43"/>
  <c r="AQ21" i="43"/>
  <c r="AQ9" i="43"/>
  <c r="AR8" i="43"/>
  <c r="AQ10" i="43"/>
  <c r="AP30" i="43"/>
  <c r="AP23" i="43"/>
  <c r="AP27" i="43"/>
  <c r="AP11" i="43"/>
  <c r="AO12" i="43"/>
  <c r="AQ23" i="43" l="1"/>
  <c r="AQ30" i="43"/>
  <c r="AQ27" i="43"/>
  <c r="AP22" i="43"/>
  <c r="AP12" i="43"/>
  <c r="AQ11" i="43"/>
  <c r="AQ15" i="43"/>
  <c r="AQ20" i="43" s="1"/>
  <c r="AQ14" i="43"/>
  <c r="AR28" i="43"/>
  <c r="AR9" i="43"/>
  <c r="AR10" i="43"/>
  <c r="AS8" i="43"/>
  <c r="AR21" i="43"/>
  <c r="AQ22" i="43" l="1"/>
  <c r="AR23" i="43"/>
  <c r="AR30" i="43"/>
  <c r="AR27" i="43"/>
  <c r="AR15" i="43"/>
  <c r="AR20" i="43" s="1"/>
  <c r="AR14" i="43"/>
  <c r="AQ12" i="43"/>
  <c r="AR11" i="43"/>
  <c r="AS21" i="43"/>
  <c r="E21" i="43" s="1"/>
  <c r="AS9" i="43"/>
  <c r="AS10" i="43"/>
  <c r="AS28" i="43"/>
  <c r="AS14" i="43" l="1"/>
  <c r="AS15" i="43"/>
  <c r="AS23" i="43"/>
  <c r="E23" i="43" s="1"/>
  <c r="AS30" i="43"/>
  <c r="AS27" i="43"/>
  <c r="AR12" i="43"/>
  <c r="AS11" i="43"/>
  <c r="AS12" i="43" s="1"/>
  <c r="AR22" i="43"/>
  <c r="AS20" i="43" l="1"/>
  <c r="E20" i="43" s="1"/>
  <c r="E15" i="43"/>
  <c r="AS22" i="43"/>
  <c r="E22" i="43" s="1"/>
  <c r="E14" i="43"/>
  <c r="V25" i="15" l="1"/>
  <c r="V24" i="15"/>
  <c r="V23" i="15"/>
  <c r="V22" i="15"/>
  <c r="P6" i="15" l="1"/>
  <c r="G7" i="17" l="1"/>
  <c r="I7" i="17" l="1"/>
  <c r="I19" i="17" s="1" a="1"/>
  <c r="I9" i="17" l="1" a="1"/>
  <c r="I22" i="17" a="1"/>
  <c r="I17" i="17" a="1"/>
  <c r="I13" i="17" a="1"/>
  <c r="I10" i="17" a="1"/>
  <c r="I12" i="17" a="1"/>
  <c r="I11" i="17" a="1"/>
  <c r="I25" i="17" a="1"/>
  <c r="I14" i="17" a="1"/>
  <c r="I15" i="17" a="1"/>
  <c r="I16" i="17" a="1"/>
  <c r="I21" i="17" a="1"/>
  <c r="I23" i="17" a="1"/>
  <c r="I24" i="17" a="1"/>
  <c r="I18" i="17" a="1"/>
  <c r="I20" i="17" a="1"/>
  <c r="J7" i="17"/>
  <c r="J19" i="17" s="1" a="1"/>
  <c r="J23" i="17" l="1" a="1"/>
  <c r="J18" i="17" a="1"/>
  <c r="J14" i="17" a="1"/>
  <c r="J22" i="17" a="1"/>
  <c r="J17" i="17" a="1"/>
  <c r="J13" i="17" a="1"/>
  <c r="J9" i="17" a="1"/>
  <c r="J11" i="17" a="1"/>
  <c r="J10" i="17" a="1"/>
  <c r="J12" i="17" a="1"/>
  <c r="J15" i="17" a="1"/>
  <c r="J16" i="17" a="1"/>
  <c r="J21" i="17" a="1"/>
  <c r="J20" i="17" a="1"/>
  <c r="J25" i="17" a="1"/>
  <c r="J24" i="17" a="1"/>
  <c r="K7" i="17"/>
  <c r="K19" i="17" s="1" a="1"/>
  <c r="K22" i="17" l="1" a="1"/>
  <c r="K17" i="17" a="1"/>
  <c r="K13" i="17" a="1"/>
  <c r="K9" i="17" a="1"/>
  <c r="K18" i="17" a="1"/>
  <c r="K14" i="17" a="1"/>
  <c r="K10" i="17" a="1"/>
  <c r="K23" i="17" a="1"/>
  <c r="K12" i="17" a="1"/>
  <c r="K11" i="17" a="1"/>
  <c r="K24" i="17" a="1"/>
  <c r="K20" i="17" a="1"/>
  <c r="K16" i="17" a="1"/>
  <c r="K15" i="17" a="1"/>
  <c r="K25" i="17" a="1"/>
  <c r="K21" i="17" a="1"/>
  <c r="L7" i="17"/>
  <c r="L19" i="17" s="1" a="1"/>
  <c r="L22" i="17" l="1" a="1"/>
  <c r="L17" i="17" a="1"/>
  <c r="L13" i="17" a="1"/>
  <c r="L9" i="17" a="1"/>
  <c r="L10" i="17" a="1"/>
  <c r="L23" i="17" a="1"/>
  <c r="L18" i="17" a="1"/>
  <c r="L14" i="17" a="1"/>
  <c r="L11" i="17" a="1"/>
  <c r="L24" i="17" a="1"/>
  <c r="L20" i="17" a="1"/>
  <c r="L21" i="17" a="1"/>
  <c r="L12" i="17" a="1"/>
  <c r="L25" i="17" a="1"/>
  <c r="L15" i="17" a="1"/>
  <c r="L16" i="17" a="1"/>
  <c r="D8" i="18"/>
  <c r="M7" i="17"/>
  <c r="M19" i="17" s="1" a="1"/>
  <c r="M10" i="17" l="1" a="1"/>
  <c r="M14" i="17" a="1"/>
  <c r="M23" i="17" a="1"/>
  <c r="M18" i="17" a="1"/>
  <c r="M24" i="17" a="1"/>
  <c r="M25" i="17" a="1"/>
  <c r="M21" i="17" a="1"/>
  <c r="M22" i="17" a="1"/>
  <c r="M12" i="17" a="1"/>
  <c r="M13" i="17" a="1"/>
  <c r="M11" i="17" a="1"/>
  <c r="M9" i="17" a="1"/>
  <c r="M17" i="17" a="1"/>
  <c r="M20" i="17" a="1"/>
  <c r="M16" i="17" a="1"/>
  <c r="M15" i="17" a="1"/>
  <c r="E8" i="18"/>
  <c r="N7" i="17"/>
  <c r="N19" i="17" s="1" a="1"/>
  <c r="N10" i="17" l="1" a="1"/>
  <c r="N14" i="17" a="1"/>
  <c r="N23" i="17" a="1"/>
  <c r="N18" i="17" a="1"/>
  <c r="N24" i="17" a="1"/>
  <c r="N22" i="17" a="1"/>
  <c r="N12" i="17" a="1"/>
  <c r="N13" i="17" a="1"/>
  <c r="N11" i="17" a="1"/>
  <c r="N25" i="17" a="1"/>
  <c r="N9" i="17" a="1"/>
  <c r="N17" i="17" a="1"/>
  <c r="N20" i="17" a="1"/>
  <c r="N16" i="17" a="1"/>
  <c r="N15" i="17" a="1"/>
  <c r="N21" i="17" a="1"/>
  <c r="F8" i="18"/>
  <c r="O7" i="17"/>
  <c r="O19" i="17" s="1" a="1"/>
  <c r="O20" i="17" l="1" a="1"/>
  <c r="O15" i="17" a="1"/>
  <c r="O23" i="17" a="1"/>
  <c r="O18" i="17" a="1"/>
  <c r="O14" i="17" a="1"/>
  <c r="O10" i="17" a="1"/>
  <c r="O24" i="17" a="1"/>
  <c r="O25" i="17" a="1"/>
  <c r="O9" i="17" a="1"/>
  <c r="O12" i="17" a="1"/>
  <c r="O13" i="17" a="1"/>
  <c r="O11" i="17" a="1"/>
  <c r="O17" i="17" a="1"/>
  <c r="O21" i="17" a="1"/>
  <c r="O16" i="17" a="1"/>
  <c r="O22" i="17" a="1"/>
  <c r="G8" i="18"/>
  <c r="P7" i="17"/>
  <c r="P19" i="17" s="1" a="1"/>
  <c r="P23" i="17" l="1" a="1"/>
  <c r="P18" i="17" a="1"/>
  <c r="P14" i="17" a="1"/>
  <c r="P10" i="17" a="1"/>
  <c r="P24" i="17" a="1"/>
  <c r="P20" i="17" a="1"/>
  <c r="P15" i="17" a="1"/>
  <c r="P11" i="17" a="1"/>
  <c r="P25" i="17" a="1"/>
  <c r="P16" i="17" a="1"/>
  <c r="P13" i="17" a="1"/>
  <c r="P9" i="17" a="1"/>
  <c r="P17" i="17" a="1"/>
  <c r="P21" i="17" a="1"/>
  <c r="P22" i="17" a="1"/>
  <c r="P12" i="17" a="1"/>
  <c r="H8" i="18"/>
  <c r="Q7" i="17"/>
  <c r="Q19" i="17" s="1" a="1"/>
  <c r="Q23" i="17" l="1" a="1"/>
  <c r="Q18" i="17" a="1"/>
  <c r="Q14" i="17" a="1"/>
  <c r="Q10" i="17" a="1"/>
  <c r="Q24" i="17" a="1"/>
  <c r="Q20" i="17" a="1"/>
  <c r="Q15" i="17" a="1"/>
  <c r="Q11" i="17" a="1"/>
  <c r="Q25" i="17" a="1"/>
  <c r="Q9" i="17" a="1"/>
  <c r="Q21" i="17" a="1"/>
  <c r="Q16" i="17" a="1"/>
  <c r="Q17" i="17" a="1"/>
  <c r="Q13" i="17" a="1"/>
  <c r="Q22" i="17" a="1"/>
  <c r="Q12" i="17" a="1"/>
  <c r="I8" i="18"/>
  <c r="R7" i="17"/>
  <c r="R19" i="17" s="1" a="1"/>
  <c r="R20" i="17" l="1" a="1"/>
  <c r="R15" i="17" a="1"/>
  <c r="R11" i="17" a="1"/>
  <c r="R24" i="17" a="1"/>
  <c r="R25" i="17" a="1"/>
  <c r="R10" i="17" a="1"/>
  <c r="R9" i="17" a="1"/>
  <c r="R21" i="17" a="1"/>
  <c r="R22" i="17" a="1"/>
  <c r="R17" i="17" a="1"/>
  <c r="R18" i="17" a="1"/>
  <c r="R12" i="17" a="1"/>
  <c r="R23" i="17" a="1"/>
  <c r="R14" i="17" a="1"/>
  <c r="R16" i="17" a="1"/>
  <c r="R13" i="17" a="1"/>
  <c r="J8" i="18"/>
  <c r="S7" i="17"/>
  <c r="S19" i="17" s="1" a="1"/>
  <c r="S15" i="17" l="1" a="1"/>
  <c r="S11" i="17" a="1"/>
  <c r="S24" i="17" a="1"/>
  <c r="S20" i="17" a="1"/>
  <c r="S25" i="17" a="1"/>
  <c r="S9" i="17" a="1"/>
  <c r="S21" i="17" a="1"/>
  <c r="S22" i="17" a="1"/>
  <c r="S10" i="17" a="1"/>
  <c r="S23" i="17" a="1"/>
  <c r="S18" i="17" a="1"/>
  <c r="S14" i="17" a="1"/>
  <c r="S16" i="17" a="1"/>
  <c r="S13" i="17" a="1"/>
  <c r="S12" i="17" a="1"/>
  <c r="S17" i="17" a="1"/>
  <c r="K8" i="18"/>
  <c r="T7" i="17"/>
  <c r="T19" i="17" s="1" a="1"/>
  <c r="T25" i="17" l="1" a="1"/>
  <c r="T21" i="17" a="1"/>
  <c r="T12" i="17" a="1"/>
  <c r="T24" i="17" a="1"/>
  <c r="T20" i="17" a="1"/>
  <c r="T15" i="17" a="1"/>
  <c r="T11" i="17" a="1"/>
  <c r="T16" i="17" a="1"/>
  <c r="T10" i="17" a="1"/>
  <c r="T22" i="17" a="1"/>
  <c r="T9" i="17" a="1"/>
  <c r="T23" i="17" a="1"/>
  <c r="T17" i="17" a="1"/>
  <c r="T14" i="17" a="1"/>
  <c r="T13" i="17" a="1"/>
  <c r="T18" i="17" a="1"/>
  <c r="L8" i="18"/>
  <c r="U7" i="17"/>
  <c r="U19" i="17" s="1" a="1"/>
  <c r="U24" i="17" l="1" a="1"/>
  <c r="U20" i="17" a="1"/>
  <c r="U15" i="17" a="1"/>
  <c r="U11" i="17" a="1"/>
  <c r="U12" i="17" a="1"/>
  <c r="U25" i="17" a="1"/>
  <c r="U21" i="17" a="1"/>
  <c r="U16" i="17" a="1"/>
  <c r="U9" i="17" a="1"/>
  <c r="U22" i="17" a="1"/>
  <c r="U23" i="17" a="1"/>
  <c r="U13" i="17" a="1"/>
  <c r="U10" i="17" a="1"/>
  <c r="U14" i="17" a="1"/>
  <c r="U17" i="17" a="1"/>
  <c r="U18" i="17" a="1"/>
  <c r="M8" i="18"/>
  <c r="V7" i="17"/>
  <c r="V19" i="17" s="1" a="1"/>
  <c r="V24" i="17" l="1" a="1"/>
  <c r="V20" i="17" a="1"/>
  <c r="V15" i="17" a="1"/>
  <c r="V11" i="17" a="1"/>
  <c r="V25" i="17" a="1"/>
  <c r="V12" i="17" a="1"/>
  <c r="V21" i="17" a="1"/>
  <c r="V16" i="17" a="1"/>
  <c r="V22" i="17" a="1"/>
  <c r="V23" i="17" a="1"/>
  <c r="V17" i="17" a="1"/>
  <c r="V13" i="17" a="1"/>
  <c r="V14" i="17" a="1"/>
  <c r="V10" i="17" a="1"/>
  <c r="V9" i="17" a="1"/>
  <c r="V18" i="17" a="1"/>
  <c r="N8" i="18"/>
  <c r="W7" i="17"/>
  <c r="W19" i="17" s="1" a="1"/>
  <c r="W12" i="17" l="1" a="1"/>
  <c r="W16" i="17" a="1"/>
  <c r="W25" i="17" a="1"/>
  <c r="W21" i="17" a="1"/>
  <c r="W23" i="17" a="1"/>
  <c r="W24" i="17" a="1"/>
  <c r="W22" i="17" a="1"/>
  <c r="W17" i="17" a="1"/>
  <c r="W18" i="17" a="1"/>
  <c r="W14" i="17" a="1"/>
  <c r="W15" i="17" a="1"/>
  <c r="W11" i="17" a="1"/>
  <c r="W10" i="17" a="1"/>
  <c r="W9" i="17" a="1"/>
  <c r="W20" i="17" a="1"/>
  <c r="W13" i="17" a="1"/>
  <c r="O8" i="18"/>
  <c r="X7" i="17"/>
  <c r="X19" i="17" s="1" a="1"/>
  <c r="X12" i="17" l="1" a="1"/>
  <c r="X25" i="17" a="1"/>
  <c r="X21" i="17" a="1"/>
  <c r="X16" i="17" a="1"/>
  <c r="X22" i="17" a="1"/>
  <c r="X17" i="17" a="1"/>
  <c r="X23" i="17" a="1"/>
  <c r="X24" i="17" a="1"/>
  <c r="X20" i="17" a="1"/>
  <c r="X15" i="17" a="1"/>
  <c r="X10" i="17" a="1"/>
  <c r="X9" i="17" a="1"/>
  <c r="X18" i="17" a="1"/>
  <c r="X14" i="17" a="1"/>
  <c r="X11" i="17" a="1"/>
  <c r="X13" i="17" a="1"/>
  <c r="P8" i="18"/>
  <c r="Y7" i="17"/>
  <c r="Y19" i="17" s="1" a="1"/>
  <c r="Y22" i="17" l="1" a="1"/>
  <c r="Y25" i="17" a="1"/>
  <c r="Y21" i="17" a="1"/>
  <c r="Y16" i="17" a="1"/>
  <c r="Y12" i="17" a="1"/>
  <c r="Y17" i="17" a="1"/>
  <c r="Y13" i="17" a="1"/>
  <c r="Y23" i="17" a="1"/>
  <c r="Y18" i="17" a="1"/>
  <c r="Y20" i="17" a="1"/>
  <c r="Y24" i="17" a="1"/>
  <c r="Y9" i="17" a="1"/>
  <c r="Y11" i="17" a="1"/>
  <c r="Y10" i="17" a="1"/>
  <c r="Y15" i="17" a="1"/>
  <c r="Y14" i="17" a="1"/>
  <c r="Q8" i="18"/>
  <c r="Z7" i="17"/>
  <c r="Z19" i="17" s="1" a="1"/>
  <c r="Z25" i="17" l="1" a="1"/>
  <c r="Z21" i="17" a="1"/>
  <c r="Z16" i="17" a="1"/>
  <c r="Z12" i="17" a="1"/>
  <c r="Z22" i="17" a="1"/>
  <c r="Z17" i="17" a="1"/>
  <c r="Z13" i="17" a="1"/>
  <c r="Z9" i="17" a="1"/>
  <c r="Z24" i="17" a="1"/>
  <c r="Z20" i="17" a="1"/>
  <c r="Z18" i="17" a="1"/>
  <c r="Z23" i="17" a="1"/>
  <c r="Z11" i="17" a="1"/>
  <c r="Z10" i="17" a="1"/>
  <c r="Z15" i="17" a="1"/>
  <c r="Z14" i="17" a="1"/>
  <c r="R8" i="18"/>
  <c r="AA7" i="17"/>
  <c r="AA19" i="17" s="1" a="1"/>
  <c r="AA25" i="17" l="1" a="1"/>
  <c r="AA21" i="17" a="1"/>
  <c r="AA16" i="17" a="1"/>
  <c r="AA12" i="17" a="1"/>
  <c r="AA22" i="17" a="1"/>
  <c r="AA17" i="17" a="1"/>
  <c r="AA13" i="17" a="1"/>
  <c r="AA9" i="17" a="1"/>
  <c r="AA18" i="17" a="1"/>
  <c r="AA20" i="17" a="1"/>
  <c r="AA14" i="17" a="1"/>
  <c r="AA23" i="17" a="1"/>
  <c r="AA24" i="17" a="1"/>
  <c r="AA11" i="17" a="1"/>
  <c r="AA15" i="17" a="1"/>
  <c r="AA10" i="17" a="1"/>
  <c r="S8" i="18"/>
  <c r="AB7" i="17"/>
  <c r="AB17" i="17" l="1" a="1"/>
  <c r="AB9" i="17" a="1"/>
  <c r="AB22" i="17" a="1"/>
  <c r="AB13" i="17" a="1"/>
  <c r="AB18" i="17" a="1"/>
  <c r="AB20" i="17" a="1"/>
  <c r="AB21" i="17" a="1"/>
  <c r="AB14" i="17" a="1"/>
  <c r="AB15" i="17" a="1"/>
  <c r="AB12" i="17" a="1"/>
  <c r="AB11" i="17" a="1"/>
  <c r="AB23" i="17" a="1"/>
  <c r="AB24" i="17" a="1"/>
  <c r="AB25" i="17" a="1"/>
  <c r="AB16" i="17" a="1"/>
  <c r="AB10" i="17" a="1"/>
  <c r="T8" i="18"/>
  <c r="AC7" i="17"/>
  <c r="AC9" i="17" l="1" a="1"/>
  <c r="AC22" i="17" a="1"/>
  <c r="AC17" i="17" a="1"/>
  <c r="AC13" i="17" a="1"/>
  <c r="AC18" i="17" a="1"/>
  <c r="AC21" i="17" a="1"/>
  <c r="AC14" i="17" a="1"/>
  <c r="AC20" i="17" a="1"/>
  <c r="AC12" i="17" a="1"/>
  <c r="AC11" i="17" a="1"/>
  <c r="AC10" i="17" a="1"/>
  <c r="AC23" i="17" a="1"/>
  <c r="AC24" i="17" a="1"/>
  <c r="AC25" i="17" a="1"/>
  <c r="AC15" i="17" a="1"/>
  <c r="AC16" i="17" a="1"/>
  <c r="U8" i="18"/>
  <c r="AD7" i="17"/>
  <c r="AD23" i="17" l="1" a="1"/>
  <c r="AD22" i="17" a="1"/>
  <c r="AD17" i="17" a="1"/>
  <c r="AD13" i="17" a="1"/>
  <c r="AD9" i="17" a="1"/>
  <c r="AD18" i="17" a="1"/>
  <c r="AD14" i="17" a="1"/>
  <c r="AD20" i="17" a="1"/>
  <c r="AD16" i="17" a="1"/>
  <c r="AD21" i="17" a="1"/>
  <c r="AD15" i="17" a="1"/>
  <c r="AD10" i="17" a="1"/>
  <c r="AD24" i="17" a="1"/>
  <c r="AD25" i="17" a="1"/>
  <c r="AD12" i="17" a="1"/>
  <c r="AD11" i="17" a="1"/>
  <c r="V8" i="18"/>
  <c r="AE7" i="17"/>
  <c r="AE22" i="17" l="1" a="1"/>
  <c r="AE17" i="17" a="1"/>
  <c r="AE13" i="17" a="1"/>
  <c r="AE9" i="17" a="1"/>
  <c r="AE23" i="17" a="1"/>
  <c r="AE18" i="17" a="1"/>
  <c r="AE14" i="17" a="1"/>
  <c r="AE10" i="17" a="1"/>
  <c r="AE21" i="17" a="1"/>
  <c r="AE15" i="17" a="1"/>
  <c r="AE16" i="17" a="1"/>
  <c r="AE25" i="17" a="1"/>
  <c r="AE20" i="17" a="1"/>
  <c r="AE11" i="17" a="1"/>
  <c r="AE12" i="17" a="1"/>
  <c r="AE24" i="17" a="1"/>
  <c r="AF7" i="17"/>
  <c r="AF22" i="17" l="1" a="1"/>
  <c r="AF17" i="17" a="1"/>
  <c r="AF13" i="17" a="1"/>
  <c r="AF9" i="17" a="1"/>
  <c r="AF23" i="17" a="1"/>
  <c r="AF18" i="17" a="1"/>
  <c r="AF14" i="17" a="1"/>
  <c r="AF10" i="17" a="1"/>
  <c r="AF15" i="17" a="1"/>
  <c r="AF16" i="17" a="1"/>
  <c r="AF20" i="17" a="1"/>
  <c r="AF21" i="17" a="1"/>
  <c r="AF12" i="17" a="1"/>
  <c r="AF25" i="17" a="1"/>
  <c r="AF24" i="17" a="1"/>
  <c r="AF11" i="17" a="1"/>
  <c r="AG7" i="17"/>
  <c r="AG14" i="17" l="1" a="1"/>
  <c r="AG18" i="17" a="1"/>
  <c r="AG23" i="17" a="1"/>
  <c r="AG10" i="17" a="1"/>
  <c r="AG16" i="17" a="1"/>
  <c r="AG17" i="17" a="1"/>
  <c r="AG11" i="17" a="1"/>
  <c r="AG15" i="17" a="1"/>
  <c r="AG12" i="17" a="1"/>
  <c r="AG20" i="17" a="1"/>
  <c r="AG21" i="17" a="1"/>
  <c r="AG22" i="17" a="1"/>
  <c r="AG13" i="17" a="1"/>
  <c r="AG25" i="17" a="1"/>
  <c r="AG24" i="17" a="1"/>
  <c r="AG9" i="17" a="1"/>
  <c r="AH7" i="17"/>
  <c r="AH14" i="17" l="1" a="1"/>
  <c r="AH23" i="17" a="1"/>
  <c r="AH18" i="17" a="1"/>
  <c r="AH10" i="17" a="1"/>
  <c r="AH15" i="17" a="1"/>
  <c r="AH16" i="17" a="1"/>
  <c r="AH17" i="17" a="1"/>
  <c r="AH11" i="17" a="1"/>
  <c r="AH13" i="17" a="1"/>
  <c r="AH20" i="17" a="1"/>
  <c r="AH21" i="17" a="1"/>
  <c r="AH22" i="17" a="1"/>
  <c r="AH12" i="17" a="1"/>
  <c r="AH9" i="17" a="1"/>
  <c r="AH24" i="17" a="1"/>
  <c r="AH25" i="17" a="1"/>
  <c r="AI7" i="17"/>
  <c r="AI24" i="17" l="1" a="1"/>
  <c r="AI23" i="17" a="1"/>
  <c r="AI18" i="17" a="1"/>
  <c r="AI14" i="17" a="1"/>
  <c r="AI10" i="17" a="1"/>
  <c r="AI15" i="17" a="1"/>
  <c r="AI20" i="17" a="1"/>
  <c r="AI16" i="17" a="1"/>
  <c r="AI12" i="17" a="1"/>
  <c r="AI11" i="17" a="1"/>
  <c r="AI13" i="17" a="1"/>
  <c r="AI17" i="17" a="1"/>
  <c r="AI21" i="17" a="1"/>
  <c r="AI22" i="17" a="1"/>
  <c r="AI25" i="17" a="1"/>
  <c r="AI9" i="17" a="1"/>
  <c r="AJ7" i="17"/>
  <c r="AJ23" i="17" l="1" a="1"/>
  <c r="AJ18" i="17" a="1"/>
  <c r="AJ14" i="17" a="1"/>
  <c r="AJ10" i="17" a="1"/>
  <c r="AJ15" i="17" a="1"/>
  <c r="AJ24" i="17" a="1"/>
  <c r="AJ20" i="17" a="1"/>
  <c r="AJ11" i="17" a="1"/>
  <c r="AJ17" i="17" a="1"/>
  <c r="AJ12" i="17" a="1"/>
  <c r="AJ13" i="17" a="1"/>
  <c r="AJ25" i="17" a="1"/>
  <c r="AJ22" i="17" a="1"/>
  <c r="AJ16" i="17" a="1"/>
  <c r="AJ9" i="17" a="1"/>
  <c r="AJ21" i="17" a="1"/>
  <c r="AK7" i="17"/>
  <c r="AK23" i="17" l="1" a="1"/>
  <c r="AK18" i="17" a="1"/>
  <c r="AK14" i="17" a="1"/>
  <c r="AK10" i="17" a="1"/>
  <c r="AK20" i="17" a="1"/>
  <c r="AK24" i="17" a="1"/>
  <c r="AK15" i="17" a="1"/>
  <c r="AK11" i="17" a="1"/>
  <c r="AK12" i="17" a="1"/>
  <c r="AK13" i="17" a="1"/>
  <c r="AK25" i="17" a="1"/>
  <c r="AK9" i="17" a="1"/>
  <c r="AK16" i="17" a="1"/>
  <c r="AK17" i="17" a="1"/>
  <c r="AK21" i="17" a="1"/>
  <c r="AK22" i="17" a="1"/>
  <c r="AL7" i="17"/>
  <c r="AL24" i="17" l="1" a="1"/>
  <c r="AL20" i="17" a="1"/>
  <c r="AL15" i="17" a="1"/>
  <c r="AL11" i="17" a="1"/>
  <c r="AL12" i="17" a="1"/>
  <c r="AL13" i="17" a="1"/>
  <c r="AL14" i="17" a="1"/>
  <c r="AL9" i="17" a="1"/>
  <c r="AL16" i="17" a="1"/>
  <c r="AL17" i="17" a="1"/>
  <c r="AL18" i="17" a="1"/>
  <c r="AL23" i="17" a="1"/>
  <c r="AL21" i="17" a="1"/>
  <c r="AL25" i="17" a="1"/>
  <c r="AL10" i="17" a="1"/>
  <c r="AL22" i="17" a="1"/>
  <c r="AM7" i="17"/>
  <c r="AM11" i="17" l="1" a="1"/>
  <c r="AM24" i="17" a="1"/>
  <c r="AM20" i="17" a="1"/>
  <c r="AM15" i="17" a="1"/>
  <c r="AM12" i="17" a="1"/>
  <c r="AM14" i="17" a="1"/>
  <c r="AM13" i="17" a="1"/>
  <c r="AM16" i="17" a="1"/>
  <c r="AM17" i="17" a="1"/>
  <c r="AM18" i="17" a="1"/>
  <c r="AM23" i="17" a="1"/>
  <c r="AM9" i="17" a="1"/>
  <c r="AM25" i="17" a="1"/>
  <c r="AM22" i="17" a="1"/>
  <c r="AM21" i="17" a="1"/>
  <c r="AM10" i="17" a="1"/>
  <c r="AN7" i="17"/>
  <c r="AN25" i="17" l="1" a="1"/>
  <c r="AN16" i="17" a="1"/>
  <c r="AN24" i="17" a="1"/>
  <c r="AN20" i="17" a="1"/>
  <c r="AN15" i="17" a="1"/>
  <c r="AN11" i="17" a="1"/>
  <c r="AN21" i="17" a="1"/>
  <c r="AN12" i="17" a="1"/>
  <c r="AN13" i="17" a="1"/>
  <c r="AN14" i="17" a="1"/>
  <c r="AN17" i="17" a="1"/>
  <c r="AN18" i="17" a="1"/>
  <c r="AN22" i="17" a="1"/>
  <c r="AN10" i="17" a="1"/>
  <c r="AN9" i="17" a="1"/>
  <c r="AN23" i="17" a="1"/>
  <c r="AO7" i="17"/>
  <c r="AO24" i="17" l="1" a="1"/>
  <c r="AO20" i="17" a="1"/>
  <c r="AO15" i="17" a="1"/>
  <c r="AO11" i="17" a="1"/>
  <c r="AO25" i="17" a="1"/>
  <c r="AO21" i="17" a="1"/>
  <c r="AO16" i="17" a="1"/>
  <c r="AO12" i="17" a="1"/>
  <c r="AO14" i="17" a="1"/>
  <c r="AO10" i="17" a="1"/>
  <c r="AO22" i="17" a="1"/>
  <c r="AO18" i="17" a="1"/>
  <c r="AO13" i="17" a="1"/>
  <c r="AO17" i="17" a="1"/>
  <c r="AO9" i="17" a="1"/>
  <c r="AO23" i="17" a="1"/>
  <c r="V10" i="15" l="1"/>
  <c r="E5" i="15" l="1"/>
  <c r="AD290" i="17" l="1" a="1"/>
  <c r="AM290" i="17" a="1"/>
  <c r="AF210" i="17" a="1"/>
  <c r="L26" i="17" a="1"/>
  <c r="AD130" i="17" a="1"/>
  <c r="AM130" i="17" a="1"/>
  <c r="AF90" i="17" a="1"/>
  <c r="AO90" i="17" a="1"/>
  <c r="AK50" i="17" a="1"/>
  <c r="AH290" i="17" a="1"/>
  <c r="AK210" i="17" a="1"/>
  <c r="P26" i="17" a="1"/>
  <c r="Y26" i="17" a="1"/>
  <c r="AI130" i="17" a="1"/>
  <c r="AJ90" i="17" a="1"/>
  <c r="AF50" i="17" a="1"/>
  <c r="AK290" i="17" a="1"/>
  <c r="AD210" i="17" a="1"/>
  <c r="AN210" i="17" a="1"/>
  <c r="J26" i="17" a="1"/>
  <c r="S26" i="17" a="1"/>
  <c r="AL130" i="17" a="1"/>
  <c r="AM90" i="17" a="1"/>
  <c r="AM50" i="17" a="1"/>
  <c r="AC50" i="17" a="1"/>
  <c r="AE290" i="17" a="1"/>
  <c r="AH210" i="17" a="1"/>
  <c r="T26" i="17" a="1"/>
  <c r="AG130" i="17" a="1"/>
  <c r="AK90" i="17" a="1"/>
  <c r="AJ50" i="17" a="1"/>
  <c r="AJ210" i="17" a="1"/>
  <c r="I26" i="17" a="1"/>
  <c r="V26" i="17" a="1"/>
  <c r="AN90" i="17" a="1"/>
  <c r="AH50" i="17" a="1"/>
  <c r="AK130" i="17" a="1"/>
  <c r="AG50" i="17" a="1"/>
  <c r="AF290" i="17" a="1"/>
  <c r="AI210" i="17" a="1"/>
  <c r="U26" i="17" a="1"/>
  <c r="AH130" i="17" a="1"/>
  <c r="AL90" i="17" a="1"/>
  <c r="AI50" i="17" a="1"/>
  <c r="AJ130" i="17" a="1"/>
  <c r="AG290" i="17" a="1"/>
  <c r="AL210" i="17" a="1"/>
  <c r="K26" i="17" a="1"/>
  <c r="W26" i="17" a="1"/>
  <c r="AC90" i="17" a="1"/>
  <c r="AN290" i="17" a="1"/>
  <c r="R26" i="17" a="1"/>
  <c r="AO130" i="17" a="1"/>
  <c r="AE90" i="17" a="1"/>
  <c r="AL50" i="17" a="1"/>
  <c r="X26" i="17" a="1"/>
  <c r="AE50" i="17" a="1"/>
  <c r="AC210" i="17" a="1"/>
  <c r="AC290" i="17" a="1"/>
  <c r="AG210" i="17" a="1"/>
  <c r="AF130" i="17" a="1"/>
  <c r="AJ290" i="17" a="1"/>
  <c r="AO210" i="17" a="1"/>
  <c r="O26" i="17" a="1"/>
  <c r="AO50" i="17" a="1"/>
  <c r="AL290" i="17" a="1"/>
  <c r="AD90" i="17" a="1"/>
  <c r="AC130" i="17" a="1"/>
  <c r="AI90" i="17" a="1"/>
  <c r="AE210" i="17" a="1"/>
  <c r="M26" i="17" a="1"/>
  <c r="AE130" i="17" a="1"/>
  <c r="AI290" i="17" a="1"/>
  <c r="AM210" i="17" a="1"/>
  <c r="N26" i="17" a="1"/>
  <c r="AN130" i="17" a="1"/>
  <c r="AN50" i="17" a="1"/>
  <c r="AO290" i="17" a="1"/>
  <c r="Z26" i="17" a="1"/>
  <c r="AG90" i="17" a="1"/>
  <c r="AD50" i="17" a="1"/>
  <c r="AA26" i="17" a="1"/>
  <c r="AH90" i="17" a="1"/>
  <c r="Q26" i="17" a="1"/>
  <c r="AB26" i="17" l="1" a="1"/>
  <c r="V11" i="15" l="1"/>
  <c r="V12" i="15"/>
  <c r="V14" i="15"/>
  <c r="V15" i="15"/>
  <c r="V16" i="15"/>
  <c r="V17" i="15"/>
  <c r="V18" i="15"/>
  <c r="V20" i="15"/>
  <c r="V21" i="15"/>
  <c r="E68" i="1" l="1"/>
  <c r="E67" i="1"/>
  <c r="E66" i="1"/>
  <c r="E39" i="1"/>
  <c r="E37" i="1"/>
  <c r="E36" i="1"/>
  <c r="E35" i="1"/>
  <c r="A11" i="15"/>
  <c r="Q6" i="15"/>
  <c r="R6" i="15" s="1"/>
  <c r="S6" i="15" s="1"/>
  <c r="T6" i="15" s="1"/>
  <c r="U6" i="15" s="1"/>
  <c r="V6" i="15" s="1"/>
  <c r="W6" i="15" s="1"/>
  <c r="X6" i="15" s="1"/>
  <c r="Y6" i="15" s="1"/>
  <c r="Z6" i="15" s="1"/>
  <c r="AA6" i="15" s="1"/>
  <c r="AB6" i="15" s="1"/>
  <c r="AC6" i="15" s="1"/>
  <c r="AD6" i="15" s="1"/>
  <c r="B11" i="15"/>
  <c r="F22" i="39" l="1"/>
  <c r="AC48" i="39"/>
  <c r="G10" i="45" s="1"/>
  <c r="F21" i="39"/>
  <c r="F25" i="39"/>
  <c r="F45" i="40" s="1"/>
  <c r="AC52" i="39"/>
  <c r="G19" i="45" s="1"/>
  <c r="P18" i="45" s="1"/>
  <c r="AE6" i="15"/>
  <c r="AF6" i="15" s="1"/>
  <c r="AG6" i="15" s="1"/>
  <c r="AH6" i="15" s="1"/>
  <c r="AI6" i="15" s="1"/>
  <c r="AJ6" i="15" s="1"/>
  <c r="AK6" i="15" s="1"/>
  <c r="AL6" i="15" s="1"/>
  <c r="AM6" i="15" s="1"/>
  <c r="AN6" i="15" s="1"/>
  <c r="AO6" i="15" s="1"/>
  <c r="AP6" i="15" s="1"/>
  <c r="AQ6" i="15" s="1"/>
  <c r="AR6" i="15" s="1"/>
  <c r="AS6" i="15" s="1"/>
  <c r="AT6" i="15" s="1"/>
  <c r="AU6" i="15" s="1"/>
  <c r="AV6" i="15" s="1"/>
  <c r="AW6" i="15" s="1"/>
  <c r="AX6" i="15" s="1"/>
  <c r="AY6" i="15" s="1"/>
  <c r="AZ6" i="15" s="1"/>
  <c r="BA6" i="15" s="1"/>
  <c r="BB6" i="15" s="1"/>
  <c r="BC6" i="15" s="1"/>
  <c r="BD6" i="15" s="1"/>
  <c r="BE6" i="15" s="1"/>
  <c r="BF6" i="15" s="1"/>
  <c r="BG6" i="15" s="1"/>
  <c r="BH6" i="15" s="1"/>
  <c r="BI6" i="15" s="1"/>
  <c r="BJ6" i="15" s="1"/>
  <c r="BK6" i="15" s="1"/>
  <c r="BL6" i="15" s="1"/>
  <c r="BM6" i="15" s="1"/>
  <c r="BN6" i="15" s="1"/>
  <c r="BO6" i="15" s="1"/>
  <c r="BP6" i="15" s="1"/>
  <c r="BQ6" i="15" s="1"/>
  <c r="BR6" i="15" s="1"/>
  <c r="BS6" i="15" s="1"/>
  <c r="BT6" i="15" s="1"/>
  <c r="BU6" i="15" s="1"/>
  <c r="BV6" i="15" s="1"/>
  <c r="BW6" i="15" s="1"/>
  <c r="E32" i="1"/>
  <c r="A12" i="15"/>
  <c r="B12" i="15"/>
  <c r="E33" i="1"/>
  <c r="E34" i="1"/>
  <c r="L18" i="45" l="1"/>
  <c r="N18" i="45"/>
  <c r="AH18" i="45"/>
  <c r="AG18" i="45"/>
  <c r="AE18" i="45"/>
  <c r="AC18" i="45"/>
  <c r="AF18" i="45"/>
  <c r="J18" i="45"/>
  <c r="Z18" i="45"/>
  <c r="F20" i="39"/>
  <c r="O18" i="45"/>
  <c r="AD18" i="45"/>
  <c r="M18" i="45"/>
  <c r="AB18" i="45"/>
  <c r="U18" i="45"/>
  <c r="S18" i="45"/>
  <c r="F19" i="39"/>
  <c r="R18" i="45"/>
  <c r="Q18" i="45"/>
  <c r="X18" i="45"/>
  <c r="W18" i="45"/>
  <c r="V18" i="45"/>
  <c r="T18" i="45"/>
  <c r="AA18" i="45"/>
  <c r="Y18" i="45"/>
  <c r="F18" i="39"/>
  <c r="K18" i="45"/>
  <c r="V16" i="39"/>
  <c r="A13" i="15"/>
  <c r="B13" i="15"/>
  <c r="V13" i="39" l="1"/>
  <c r="A14" i="15"/>
  <c r="B14" i="15"/>
  <c r="L18" i="1"/>
  <c r="L40" i="1" s="1"/>
  <c r="L66" i="1"/>
  <c r="E22" i="1" l="1"/>
  <c r="D3" i="49"/>
  <c r="E21" i="1"/>
  <c r="E20" i="1"/>
  <c r="E24" i="1"/>
  <c r="E19" i="1"/>
  <c r="I3" i="1"/>
  <c r="F13" i="39"/>
  <c r="G39" i="41" s="1"/>
  <c r="M18" i="1"/>
  <c r="M40" i="1" s="1"/>
  <c r="V14" i="39"/>
  <c r="V15" i="39"/>
  <c r="A15" i="15"/>
  <c r="B15" i="15"/>
  <c r="M44" i="1" l="1" a="1"/>
  <c r="M62" i="1" a="1"/>
  <c r="Y4" i="49"/>
  <c r="F14" i="39"/>
  <c r="AB38" i="42"/>
  <c r="AB39" i="42" s="1"/>
  <c r="AB40" i="42" s="1"/>
  <c r="AM44" i="40"/>
  <c r="AM47" i="40" s="1"/>
  <c r="AA3" i="41"/>
  <c r="AB44" i="40"/>
  <c r="AB47" i="40" s="1"/>
  <c r="P38" i="42"/>
  <c r="P39" i="42" s="1"/>
  <c r="P40" i="42" s="1"/>
  <c r="V44" i="40"/>
  <c r="V47" i="40" s="1"/>
  <c r="J38" i="42"/>
  <c r="J39" i="42" s="1"/>
  <c r="J40" i="42" s="1"/>
  <c r="L38" i="42"/>
  <c r="L39" i="42" s="1"/>
  <c r="L40" i="42" s="1"/>
  <c r="AB4" i="40"/>
  <c r="AE38" i="42"/>
  <c r="AE39" i="42" s="1"/>
  <c r="AE40" i="42" s="1"/>
  <c r="AF44" i="40"/>
  <c r="AF47" i="40" s="1"/>
  <c r="U4" i="40"/>
  <c r="H38" i="42"/>
  <c r="H39" i="42" s="1"/>
  <c r="H40" i="42" s="1"/>
  <c r="S4" i="40"/>
  <c r="Y38" i="42"/>
  <c r="Y39" i="42" s="1"/>
  <c r="Y40" i="42" s="1"/>
  <c r="AC3" i="41"/>
  <c r="S38" i="42"/>
  <c r="S39" i="42" s="1"/>
  <c r="S40" i="42" s="1"/>
  <c r="AE44" i="40"/>
  <c r="AE47" i="40" s="1"/>
  <c r="K38" i="42"/>
  <c r="K39" i="42" s="1"/>
  <c r="K40" i="42" s="1"/>
  <c r="AO44" i="40"/>
  <c r="AO47" i="40" s="1"/>
  <c r="AE4" i="40"/>
  <c r="X44" i="40"/>
  <c r="X46" i="40" s="1"/>
  <c r="R44" i="40"/>
  <c r="R46" i="40" s="1"/>
  <c r="T3" i="41"/>
  <c r="I39" i="41"/>
  <c r="J39" i="41" s="1"/>
  <c r="R38" i="42"/>
  <c r="R39" i="42" s="1"/>
  <c r="R40" i="42" s="1"/>
  <c r="AL44" i="40"/>
  <c r="AL47" i="40" s="1"/>
  <c r="V4" i="40"/>
  <c r="H39" i="41"/>
  <c r="N38" i="42"/>
  <c r="N39" i="42" s="1"/>
  <c r="N40" i="42" s="1"/>
  <c r="AK44" i="40"/>
  <c r="AK47" i="40" s="1"/>
  <c r="Z3" i="41"/>
  <c r="O38" i="42"/>
  <c r="O39" i="42" s="1"/>
  <c r="O40" i="42" s="1"/>
  <c r="AJ44" i="40"/>
  <c r="AJ47" i="40" s="1"/>
  <c r="S3" i="41"/>
  <c r="AC38" i="42"/>
  <c r="AC39" i="42" s="1"/>
  <c r="AC40" i="42" s="1"/>
  <c r="M38" i="42"/>
  <c r="M39" i="42" s="1"/>
  <c r="M40" i="42" s="1"/>
  <c r="AA44" i="40"/>
  <c r="Q38" i="42"/>
  <c r="Q39" i="42" s="1"/>
  <c r="Q40" i="42" s="1"/>
  <c r="AD3" i="41"/>
  <c r="Y44" i="40"/>
  <c r="Y47" i="40" s="1"/>
  <c r="AD38" i="42"/>
  <c r="AD39" i="42" s="1"/>
  <c r="AD40" i="42" s="1"/>
  <c r="W3" i="41"/>
  <c r="R4" i="40"/>
  <c r="Z38" i="42"/>
  <c r="Z39" i="42" s="1"/>
  <c r="Z40" i="42" s="1"/>
  <c r="Y4" i="40"/>
  <c r="P3" i="41"/>
  <c r="AN44" i="40"/>
  <c r="AN47" i="40" s="1"/>
  <c r="AC44" i="40"/>
  <c r="AC47" i="40" s="1"/>
  <c r="X4" i="40"/>
  <c r="O3" i="41"/>
  <c r="O44" i="40"/>
  <c r="O47" i="40" s="1"/>
  <c r="O4" i="40"/>
  <c r="L3" i="41"/>
  <c r="AF4" i="40"/>
  <c r="Z44" i="40"/>
  <c r="Z46" i="40" s="1"/>
  <c r="U44" i="40"/>
  <c r="U46" i="40" s="1"/>
  <c r="N44" i="40"/>
  <c r="N47" i="40" s="1"/>
  <c r="M44" i="40"/>
  <c r="M47" i="40" s="1"/>
  <c r="J44" i="40"/>
  <c r="J47" i="40" s="1"/>
  <c r="K3" i="41"/>
  <c r="K44" i="40"/>
  <c r="K47" i="40" s="1"/>
  <c r="Q4" i="40"/>
  <c r="G3" i="41"/>
  <c r="J4" i="40"/>
  <c r="V38" i="42"/>
  <c r="V39" i="42" s="1"/>
  <c r="V40" i="42" s="1"/>
  <c r="T38" i="42"/>
  <c r="T39" i="42" s="1"/>
  <c r="T40" i="42" s="1"/>
  <c r="AI44" i="40"/>
  <c r="AI47" i="40" s="1"/>
  <c r="AB3" i="41"/>
  <c r="Y3" i="41"/>
  <c r="V3" i="41"/>
  <c r="T44" i="40"/>
  <c r="T46" i="40" s="1"/>
  <c r="N3" i="41"/>
  <c r="L4" i="40"/>
  <c r="G38" i="42"/>
  <c r="G39" i="42" s="1"/>
  <c r="G40" i="42" s="1"/>
  <c r="I38" i="42"/>
  <c r="I39" i="42" s="1"/>
  <c r="I40" i="42" s="1"/>
  <c r="AH44" i="40"/>
  <c r="AH47" i="40" s="1"/>
  <c r="AD4" i="40"/>
  <c r="AA4" i="40"/>
  <c r="W44" i="40"/>
  <c r="W47" i="40" s="1"/>
  <c r="R3" i="41"/>
  <c r="P44" i="40"/>
  <c r="P47" i="40" s="1"/>
  <c r="L44" i="40"/>
  <c r="L47" i="40" s="1"/>
  <c r="H44" i="40"/>
  <c r="H47" i="40" s="1"/>
  <c r="AA38" i="42"/>
  <c r="AA39" i="42" s="1"/>
  <c r="AA40" i="42" s="1"/>
  <c r="AG44" i="40"/>
  <c r="AG47" i="40" s="1"/>
  <c r="AD44" i="40"/>
  <c r="AD47" i="40" s="1"/>
  <c r="Z4" i="40"/>
  <c r="U3" i="41"/>
  <c r="S44" i="40"/>
  <c r="S47" i="40" s="1"/>
  <c r="P4" i="40"/>
  <c r="J3" i="41"/>
  <c r="X38" i="42"/>
  <c r="X39" i="42" s="1"/>
  <c r="X40" i="42" s="1"/>
  <c r="W38" i="42"/>
  <c r="W39" i="42" s="1"/>
  <c r="W40" i="42" s="1"/>
  <c r="U38" i="42"/>
  <c r="U39" i="42" s="1"/>
  <c r="U40" i="42" s="1"/>
  <c r="AP44" i="40"/>
  <c r="AP47" i="40" s="1"/>
  <c r="AE3" i="41"/>
  <c r="AC4" i="40"/>
  <c r="X3" i="41"/>
  <c r="W4" i="40"/>
  <c r="Q3" i="41"/>
  <c r="M3" i="41"/>
  <c r="K4" i="40"/>
  <c r="G43" i="41"/>
  <c r="H43" i="41" s="1"/>
  <c r="I43" i="41" s="1"/>
  <c r="J43" i="41" s="1"/>
  <c r="K43" i="41" s="1"/>
  <c r="L43" i="41" s="1"/>
  <c r="M43" i="41" s="1"/>
  <c r="N43" i="41" s="1"/>
  <c r="O43" i="41" s="1"/>
  <c r="P43" i="41" s="1"/>
  <c r="Q43" i="41" s="1"/>
  <c r="R43" i="41" s="1"/>
  <c r="S43" i="41" s="1"/>
  <c r="T43" i="41" s="1"/>
  <c r="U43" i="41" s="1"/>
  <c r="V43" i="41" s="1"/>
  <c r="W43" i="41" s="1"/>
  <c r="X43" i="41" s="1"/>
  <c r="Y43" i="41" s="1"/>
  <c r="Z43" i="41" s="1"/>
  <c r="AA43" i="41" s="1"/>
  <c r="AB43" i="41" s="1"/>
  <c r="AC43" i="41" s="1"/>
  <c r="AD43" i="41" s="1"/>
  <c r="AE43" i="41" s="1"/>
  <c r="I3" i="41"/>
  <c r="H4" i="40"/>
  <c r="I4" i="40"/>
  <c r="F3" i="41"/>
  <c r="T4" i="40"/>
  <c r="Q44" i="40"/>
  <c r="Q47" i="40" s="1"/>
  <c r="N4" i="40"/>
  <c r="G44" i="41"/>
  <c r="H44" i="41" s="1"/>
  <c r="I44" i="41" s="1"/>
  <c r="J44" i="41" s="1"/>
  <c r="K44" i="41" s="1"/>
  <c r="L44" i="41" s="1"/>
  <c r="M44" i="41" s="1"/>
  <c r="N44" i="41" s="1"/>
  <c r="O44" i="41" s="1"/>
  <c r="P44" i="41" s="1"/>
  <c r="Q44" i="41" s="1"/>
  <c r="R44" i="41" s="1"/>
  <c r="S44" i="41" s="1"/>
  <c r="T44" i="41" s="1"/>
  <c r="U44" i="41" s="1"/>
  <c r="V44" i="41" s="1"/>
  <c r="W44" i="41" s="1"/>
  <c r="X44" i="41" s="1"/>
  <c r="Y44" i="41" s="1"/>
  <c r="Z44" i="41" s="1"/>
  <c r="AA44" i="41" s="1"/>
  <c r="AB44" i="41" s="1"/>
  <c r="AC44" i="41" s="1"/>
  <c r="AD44" i="41" s="1"/>
  <c r="AE44" i="41" s="1"/>
  <c r="G38" i="41"/>
  <c r="H38" i="41" s="1"/>
  <c r="I38" i="41" s="1"/>
  <c r="J38" i="41" s="1"/>
  <c r="K38" i="41" s="1"/>
  <c r="L38" i="41" s="1"/>
  <c r="M38" i="41" s="1"/>
  <c r="N38" i="41" s="1"/>
  <c r="O38" i="41" s="1"/>
  <c r="P38" i="41" s="1"/>
  <c r="Q38" i="41" s="1"/>
  <c r="R38" i="41" s="1"/>
  <c r="S38" i="41" s="1"/>
  <c r="T38" i="41" s="1"/>
  <c r="U38" i="41" s="1"/>
  <c r="V38" i="41" s="1"/>
  <c r="W38" i="41" s="1"/>
  <c r="X38" i="41" s="1"/>
  <c r="Y38" i="41" s="1"/>
  <c r="Z38" i="41" s="1"/>
  <c r="AA38" i="41" s="1"/>
  <c r="AB38" i="41" s="1"/>
  <c r="AC38" i="41" s="1"/>
  <c r="AD38" i="41" s="1"/>
  <c r="AE38" i="41" s="1"/>
  <c r="M4" i="40"/>
  <c r="I44" i="40"/>
  <c r="I47" i="40" s="1"/>
  <c r="G41" i="41"/>
  <c r="H41" i="41" s="1"/>
  <c r="I41" i="41" s="1"/>
  <c r="J41" i="41" s="1"/>
  <c r="K41" i="41" s="1"/>
  <c r="L41" i="41" s="1"/>
  <c r="M41" i="41" s="1"/>
  <c r="N41" i="41" s="1"/>
  <c r="O41" i="41" s="1"/>
  <c r="P41" i="41" s="1"/>
  <c r="Q41" i="41" s="1"/>
  <c r="R41" i="41" s="1"/>
  <c r="S41" i="41" s="1"/>
  <c r="T41" i="41" s="1"/>
  <c r="U41" i="41" s="1"/>
  <c r="V41" i="41" s="1"/>
  <c r="W41" i="41" s="1"/>
  <c r="X41" i="41" s="1"/>
  <c r="Y41" i="41" s="1"/>
  <c r="Z41" i="41" s="1"/>
  <c r="AA41" i="41" s="1"/>
  <c r="AB41" i="41" s="1"/>
  <c r="AC41" i="41" s="1"/>
  <c r="AD41" i="41" s="1"/>
  <c r="AE41" i="41" s="1"/>
  <c r="H3" i="41"/>
  <c r="G40" i="41"/>
  <c r="H40" i="41" s="1"/>
  <c r="I40" i="41" s="1"/>
  <c r="J40" i="41" s="1"/>
  <c r="K40" i="41" s="1"/>
  <c r="L40" i="41" s="1"/>
  <c r="M40" i="41" s="1"/>
  <c r="N40" i="41" s="1"/>
  <c r="O40" i="41" s="1"/>
  <c r="P40" i="41" s="1"/>
  <c r="Q40" i="41" s="1"/>
  <c r="R40" i="41" s="1"/>
  <c r="S40" i="41" s="1"/>
  <c r="T40" i="41" s="1"/>
  <c r="U40" i="41" s="1"/>
  <c r="V40" i="41" s="1"/>
  <c r="W40" i="41" s="1"/>
  <c r="X40" i="41" s="1"/>
  <c r="Y40" i="41" s="1"/>
  <c r="Z40" i="41" s="1"/>
  <c r="AA40" i="41" s="1"/>
  <c r="AB40" i="41" s="1"/>
  <c r="AC40" i="41" s="1"/>
  <c r="AD40" i="41" s="1"/>
  <c r="AE40" i="41" s="1"/>
  <c r="N18" i="1"/>
  <c r="N40" i="1" s="1"/>
  <c r="N62" i="1" s="1" a="1"/>
  <c r="A16" i="15"/>
  <c r="B16" i="15"/>
  <c r="M45" i="1" l="1" a="1"/>
  <c r="Z4" i="49"/>
  <c r="M56" i="1" a="1"/>
  <c r="M60" i="1" a="1"/>
  <c r="M57" i="1" a="1"/>
  <c r="M59" i="1" a="1"/>
  <c r="M55" i="1" a="1"/>
  <c r="M58" i="1" a="1"/>
  <c r="M61" i="1" a="1"/>
  <c r="M48" i="1" a="1"/>
  <c r="M53" i="1" a="1"/>
  <c r="M50" i="1" a="1"/>
  <c r="M49" i="1" a="1"/>
  <c r="M47" i="1" a="1"/>
  <c r="M54" i="1" a="1"/>
  <c r="M46" i="1" a="1"/>
  <c r="M52" i="1" a="1"/>
  <c r="M51" i="1" a="1"/>
  <c r="O18" i="1"/>
  <c r="O40" i="1" s="1"/>
  <c r="O62" i="1" s="1" a="1"/>
  <c r="Z10" i="40"/>
  <c r="Z21" i="40" s="1"/>
  <c r="AC10" i="40"/>
  <c r="AC21" i="40" s="1"/>
  <c r="P10" i="40"/>
  <c r="P21" i="40" s="1"/>
  <c r="V10" i="40"/>
  <c r="V21" i="40" s="1"/>
  <c r="R10" i="40"/>
  <c r="R21" i="40" s="1"/>
  <c r="S10" i="40"/>
  <c r="S21" i="40" s="1"/>
  <c r="AD10" i="40"/>
  <c r="AD21" i="40" s="1"/>
  <c r="AA10" i="40"/>
  <c r="AA21" i="40" s="1"/>
  <c r="Q10" i="40"/>
  <c r="Q21" i="40" s="1"/>
  <c r="I10" i="40"/>
  <c r="I21" i="40" s="1"/>
  <c r="U10" i="40"/>
  <c r="U21" i="40" s="1"/>
  <c r="O10" i="40"/>
  <c r="O21" i="40" s="1"/>
  <c r="V46" i="40"/>
  <c r="X47" i="40"/>
  <c r="N10" i="40"/>
  <c r="N21" i="40" s="1"/>
  <c r="T10" i="40"/>
  <c r="T21" i="40" s="1"/>
  <c r="AE10" i="40"/>
  <c r="AE21" i="40" s="1"/>
  <c r="AF10" i="40"/>
  <c r="AF21" i="40" s="1"/>
  <c r="AA47" i="40"/>
  <c r="L10" i="40"/>
  <c r="L21" i="40" s="1"/>
  <c r="Y46" i="40"/>
  <c r="M10" i="40"/>
  <c r="M21" i="40" s="1"/>
  <c r="K10" i="40"/>
  <c r="K21" i="40" s="1"/>
  <c r="Y10" i="40"/>
  <c r="Y21" i="40" s="1"/>
  <c r="X10" i="40"/>
  <c r="X21" i="40" s="1"/>
  <c r="R47" i="40"/>
  <c r="AB10" i="40"/>
  <c r="AB21" i="40" s="1"/>
  <c r="U47" i="40"/>
  <c r="Z47" i="40"/>
  <c r="J10" i="40"/>
  <c r="J21" i="40" s="1"/>
  <c r="S46" i="40"/>
  <c r="W10" i="40"/>
  <c r="W21" i="40" s="1"/>
  <c r="W46" i="40"/>
  <c r="H10" i="40"/>
  <c r="H21" i="40" s="1"/>
  <c r="T47" i="40"/>
  <c r="K39" i="41"/>
  <c r="B17" i="15"/>
  <c r="B18" i="15" s="1"/>
  <c r="A17" i="15"/>
  <c r="Z26" i="1" l="1"/>
  <c r="R26" i="1"/>
  <c r="V26" i="1"/>
  <c r="AB26" i="1"/>
  <c r="AF26" i="1"/>
  <c r="AI26" i="1"/>
  <c r="O26" i="1"/>
  <c r="AK26" i="1"/>
  <c r="X26" i="1"/>
  <c r="N26" i="1"/>
  <c r="Q26" i="1"/>
  <c r="AJ26" i="1"/>
  <c r="W26" i="1"/>
  <c r="Y26" i="1"/>
  <c r="AA26" i="1"/>
  <c r="P26" i="1"/>
  <c r="M26" i="1"/>
  <c r="AG26" i="1"/>
  <c r="S26" i="1"/>
  <c r="AH26" i="1"/>
  <c r="AC26" i="1"/>
  <c r="AE26" i="1"/>
  <c r="U26" i="1"/>
  <c r="AD26" i="1"/>
  <c r="T26" i="1"/>
  <c r="AB4" i="49"/>
  <c r="O60" i="1" a="1"/>
  <c r="O61" i="1" a="1"/>
  <c r="O55" i="1" a="1"/>
  <c r="O58" i="1" a="1"/>
  <c r="O56" i="1" a="1"/>
  <c r="O57" i="1" a="1"/>
  <c r="O59" i="1" a="1"/>
  <c r="AA4" i="49"/>
  <c r="N60" i="1" a="1"/>
  <c r="N61" i="1" a="1"/>
  <c r="N56" i="1" a="1"/>
  <c r="N57" i="1" a="1"/>
  <c r="N55" i="1" a="1"/>
  <c r="N59" i="1" a="1"/>
  <c r="N58" i="1" a="1"/>
  <c r="P18" i="1"/>
  <c r="P40" i="1" s="1"/>
  <c r="P62" i="1" s="1" a="1"/>
  <c r="O54" i="1" a="1"/>
  <c r="O49" i="1" a="1"/>
  <c r="O44" i="1" a="1"/>
  <c r="O47" i="1" a="1"/>
  <c r="O53" i="1" a="1"/>
  <c r="O50" i="1" a="1"/>
  <c r="O45" i="1" a="1"/>
  <c r="O48" i="1" a="1"/>
  <c r="O51" i="1" a="1"/>
  <c r="O46" i="1" a="1"/>
  <c r="O52" i="1" a="1"/>
  <c r="N53" i="1" a="1"/>
  <c r="N52" i="1" a="1"/>
  <c r="N54" i="1" a="1"/>
  <c r="N46" i="1" a="1"/>
  <c r="N49" i="1" a="1"/>
  <c r="N44" i="1" a="1"/>
  <c r="N47" i="1" a="1"/>
  <c r="N50" i="1" a="1"/>
  <c r="N51" i="1" a="1"/>
  <c r="N48" i="1" a="1"/>
  <c r="N45" i="1" a="1"/>
  <c r="L39" i="41"/>
  <c r="A18" i="15"/>
  <c r="B19" i="15"/>
  <c r="AC4" i="49" l="1"/>
  <c r="P60" i="1" a="1"/>
  <c r="P61" i="1" a="1"/>
  <c r="P55" i="1" a="1"/>
  <c r="P57" i="1" a="1"/>
  <c r="P59" i="1" a="1"/>
  <c r="P56" i="1" a="1"/>
  <c r="P58" i="1" a="1"/>
  <c r="Q18" i="1"/>
  <c r="P54" i="1" a="1"/>
  <c r="P51" i="1" a="1"/>
  <c r="P50" i="1" a="1"/>
  <c r="P49" i="1" a="1"/>
  <c r="P48" i="1" a="1"/>
  <c r="P47" i="1" a="1"/>
  <c r="P46" i="1" a="1"/>
  <c r="P45" i="1" a="1"/>
  <c r="P44" i="1" a="1"/>
  <c r="P53" i="1" a="1"/>
  <c r="P52" i="1" a="1"/>
  <c r="M39" i="41"/>
  <c r="A19" i="15"/>
  <c r="B20" i="15"/>
  <c r="R18" i="1" l="1"/>
  <c r="R40" i="1" s="1"/>
  <c r="R62" i="1" s="1" a="1"/>
  <c r="Q40" i="1"/>
  <c r="Q62" i="1" s="1" a="1"/>
  <c r="L8" i="17" a="1"/>
  <c r="J8" i="17" a="1"/>
  <c r="K8" i="17" a="1"/>
  <c r="T8" i="17" a="1"/>
  <c r="S8" i="17" a="1"/>
  <c r="R8" i="17" a="1"/>
  <c r="Q8" i="17" a="1"/>
  <c r="P8" i="17" a="1"/>
  <c r="M8" i="17" a="1"/>
  <c r="I8" i="17" a="1"/>
  <c r="O8" i="17" a="1"/>
  <c r="N8" i="17" a="1"/>
  <c r="U8" i="17" a="1"/>
  <c r="V8" i="17" a="1"/>
  <c r="W8" i="17" a="1"/>
  <c r="X8" i="17" a="1"/>
  <c r="Y8" i="17" a="1"/>
  <c r="Z8" i="17" a="1"/>
  <c r="AA8" i="17" a="1"/>
  <c r="AB8" i="17" a="1"/>
  <c r="AC8" i="17" a="1"/>
  <c r="AD8" i="17" a="1"/>
  <c r="AE8" i="17" a="1"/>
  <c r="AF8" i="17" a="1"/>
  <c r="AG8" i="17" a="1"/>
  <c r="AH8" i="17" a="1"/>
  <c r="AI8" i="17" a="1"/>
  <c r="AJ8" i="17" a="1"/>
  <c r="AK8" i="17" a="1"/>
  <c r="AL8" i="17" a="1"/>
  <c r="AM8" i="17" a="1"/>
  <c r="AN8" i="17" a="1"/>
  <c r="AO8" i="17" a="1"/>
  <c r="N39" i="41"/>
  <c r="A20" i="15"/>
  <c r="B21" i="15"/>
  <c r="B22" i="15" s="1"/>
  <c r="S18" i="1"/>
  <c r="S40" i="1" s="1"/>
  <c r="S62" i="1" s="1" a="1"/>
  <c r="Q53" i="1" l="1" a="1"/>
  <c r="AD4" i="49"/>
  <c r="Q60" i="1" a="1"/>
  <c r="Q61" i="1" a="1"/>
  <c r="Q56" i="1" a="1"/>
  <c r="Q55" i="1" a="1"/>
  <c r="Q57" i="1" a="1"/>
  <c r="Q58" i="1" a="1"/>
  <c r="Q59" i="1" a="1"/>
  <c r="AE4" i="49"/>
  <c r="R60" i="1" a="1"/>
  <c r="R61" i="1" a="1"/>
  <c r="R58" i="1" a="1"/>
  <c r="R55" i="1" a="1"/>
  <c r="R56" i="1" a="1"/>
  <c r="R59" i="1" a="1"/>
  <c r="R57" i="1" a="1"/>
  <c r="Q52" i="1" a="1"/>
  <c r="Q45" i="1" a="1"/>
  <c r="Q44" i="1" a="1"/>
  <c r="Q54" i="1" a="1"/>
  <c r="Q50" i="1" a="1"/>
  <c r="Q46" i="1" a="1"/>
  <c r="Q47" i="1" a="1"/>
  <c r="Q49" i="1" a="1"/>
  <c r="Q51" i="1" a="1"/>
  <c r="Q48" i="1" a="1"/>
  <c r="R52" i="1" a="1"/>
  <c r="R50" i="1" a="1"/>
  <c r="R53" i="1" a="1"/>
  <c r="R45" i="1" a="1"/>
  <c r="R48" i="1" a="1"/>
  <c r="R51" i="1" a="1"/>
  <c r="R46" i="1" a="1"/>
  <c r="R54" i="1" a="1"/>
  <c r="R49" i="1" a="1"/>
  <c r="R47" i="1" a="1"/>
  <c r="R44" i="1" a="1"/>
  <c r="B23" i="15"/>
  <c r="O39" i="41"/>
  <c r="A21" i="15"/>
  <c r="A22" i="15" s="1"/>
  <c r="A23" i="15" s="1"/>
  <c r="A24" i="15" s="1"/>
  <c r="A25" i="15" s="1"/>
  <c r="A26" i="15" s="1"/>
  <c r="T18" i="1"/>
  <c r="T40" i="1" s="1"/>
  <c r="T62" i="1" s="1" a="1"/>
  <c r="AF4" i="49" l="1"/>
  <c r="S60" i="1" a="1"/>
  <c r="S61" i="1" a="1"/>
  <c r="S55" i="1" a="1"/>
  <c r="S57" i="1" a="1"/>
  <c r="S59" i="1" a="1"/>
  <c r="S56" i="1" a="1"/>
  <c r="S58" i="1" a="1"/>
  <c r="S53" i="1" a="1"/>
  <c r="S54" i="1" a="1"/>
  <c r="S52" i="1" a="1"/>
  <c r="S45" i="1" a="1"/>
  <c r="S48" i="1" a="1"/>
  <c r="S51" i="1" a="1"/>
  <c r="S46" i="1" a="1"/>
  <c r="S49" i="1" a="1"/>
  <c r="S44" i="1" a="1"/>
  <c r="S47" i="1" a="1"/>
  <c r="S50" i="1" a="1"/>
  <c r="B24" i="15"/>
  <c r="P39" i="41"/>
  <c r="U18" i="1"/>
  <c r="U40" i="1" s="1"/>
  <c r="U62" i="1" s="1" a="1"/>
  <c r="AG4" i="49" l="1"/>
  <c r="T60" i="1" a="1"/>
  <c r="T61" i="1" a="1"/>
  <c r="T56" i="1" a="1"/>
  <c r="T55" i="1" a="1"/>
  <c r="T57" i="1" a="1"/>
  <c r="T59" i="1" a="1"/>
  <c r="T58" i="1" a="1"/>
  <c r="T54" i="1" a="1"/>
  <c r="T52" i="1" a="1"/>
  <c r="T51" i="1" a="1"/>
  <c r="T46" i="1" a="1"/>
  <c r="T49" i="1" a="1"/>
  <c r="T44" i="1" a="1"/>
  <c r="T47" i="1" a="1"/>
  <c r="T48" i="1" a="1"/>
  <c r="T45" i="1" a="1"/>
  <c r="T53" i="1" a="1"/>
  <c r="T50" i="1" a="1"/>
  <c r="B25" i="15"/>
  <c r="B26" i="15" s="1"/>
  <c r="Q39" i="41"/>
  <c r="V18" i="1"/>
  <c r="V40" i="1" s="1"/>
  <c r="V62" i="1" s="1" a="1"/>
  <c r="AH4" i="49" l="1"/>
  <c r="U60" i="1" a="1"/>
  <c r="U61" i="1" a="1"/>
  <c r="U57" i="1" a="1"/>
  <c r="U55" i="1" a="1"/>
  <c r="U56" i="1" a="1"/>
  <c r="U58" i="1" a="1"/>
  <c r="U59" i="1" a="1"/>
  <c r="U51" i="1" a="1"/>
  <c r="U50" i="1" a="1"/>
  <c r="U49" i="1" a="1"/>
  <c r="U48" i="1" a="1"/>
  <c r="U54" i="1" a="1"/>
  <c r="U46" i="1" a="1"/>
  <c r="U52" i="1" a="1"/>
  <c r="U44" i="1" a="1"/>
  <c r="U47" i="1" a="1"/>
  <c r="U45" i="1" a="1"/>
  <c r="U53" i="1" a="1"/>
  <c r="R39" i="41"/>
  <c r="W18" i="1"/>
  <c r="W40" i="1" s="1"/>
  <c r="W62" i="1" s="1" a="1"/>
  <c r="AI4" i="49" l="1"/>
  <c r="V60" i="1" a="1"/>
  <c r="V61" i="1" a="1"/>
  <c r="V55" i="1" a="1"/>
  <c r="V56" i="1" a="1"/>
  <c r="V57" i="1" a="1"/>
  <c r="V58" i="1" a="1"/>
  <c r="V59" i="1" a="1"/>
  <c r="V51" i="1" a="1"/>
  <c r="V54" i="1" a="1"/>
  <c r="V48" i="1" a="1"/>
  <c r="V47" i="1" a="1"/>
  <c r="V46" i="1" a="1"/>
  <c r="V45" i="1" a="1"/>
  <c r="V44" i="1" a="1"/>
  <c r="V52" i="1" a="1"/>
  <c r="V49" i="1" a="1"/>
  <c r="V53" i="1" a="1"/>
  <c r="V50" i="1" a="1"/>
  <c r="S39" i="41"/>
  <c r="X18" i="1"/>
  <c r="X40" i="1" s="1"/>
  <c r="X62" i="1" s="1" a="1"/>
  <c r="AJ4" i="49" l="1"/>
  <c r="W60" i="1" a="1"/>
  <c r="W61" i="1" a="1"/>
  <c r="W57" i="1" a="1"/>
  <c r="W58" i="1" a="1"/>
  <c r="W59" i="1" a="1"/>
  <c r="W55" i="1" a="1"/>
  <c r="W56" i="1" a="1"/>
  <c r="W52" i="1" a="1"/>
  <c r="W53" i="1" a="1"/>
  <c r="W49" i="1" a="1"/>
  <c r="W54" i="1" a="1"/>
  <c r="W44" i="1" a="1"/>
  <c r="W47" i="1" a="1"/>
  <c r="W50" i="1" a="1"/>
  <c r="W45" i="1" a="1"/>
  <c r="W48" i="1" a="1"/>
  <c r="W46" i="1" a="1"/>
  <c r="W51" i="1" a="1"/>
  <c r="T39" i="41"/>
  <c r="E71" i="1"/>
  <c r="E69" i="1"/>
  <c r="Y18" i="1"/>
  <c r="Y40" i="1" s="1"/>
  <c r="Y62" i="1" s="1" a="1"/>
  <c r="AK4" i="49" l="1"/>
  <c r="X60" i="1" a="1"/>
  <c r="X61" i="1" a="1"/>
  <c r="X55" i="1" a="1"/>
  <c r="X56" i="1" a="1"/>
  <c r="X57" i="1" a="1"/>
  <c r="X58" i="1" a="1"/>
  <c r="X59" i="1" a="1"/>
  <c r="X53" i="1" a="1"/>
  <c r="X47" i="1" a="1"/>
  <c r="X50" i="1" a="1"/>
  <c r="X45" i="1" a="1"/>
  <c r="X48" i="1" a="1"/>
  <c r="X51" i="1" a="1"/>
  <c r="X46" i="1" a="1"/>
  <c r="X49" i="1" a="1"/>
  <c r="X52" i="1" a="1"/>
  <c r="X44" i="1" a="1"/>
  <c r="X54" i="1" a="1"/>
  <c r="AC43" i="39"/>
  <c r="U39" i="41"/>
  <c r="E44" i="1"/>
  <c r="Z18" i="1"/>
  <c r="Z40" i="1" s="1"/>
  <c r="Z62" i="1" s="1" a="1"/>
  <c r="AL4" i="49" l="1"/>
  <c r="Y60" i="1" a="1"/>
  <c r="Y61" i="1" a="1"/>
  <c r="Y56" i="1" a="1"/>
  <c r="Y59" i="1" a="1"/>
  <c r="Y55" i="1" a="1"/>
  <c r="Y57" i="1" a="1"/>
  <c r="Y58" i="1" a="1"/>
  <c r="Y54" i="1" a="1"/>
  <c r="Y53" i="1" a="1"/>
  <c r="Y52" i="1" a="1"/>
  <c r="Y51" i="1" a="1"/>
  <c r="Y50" i="1" a="1"/>
  <c r="Y45" i="1" a="1"/>
  <c r="Y48" i="1" a="1"/>
  <c r="Y46" i="1" a="1"/>
  <c r="Y49" i="1" a="1"/>
  <c r="Y47" i="1" a="1"/>
  <c r="Y44" i="1" a="1"/>
  <c r="M22" i="39"/>
  <c r="V39" i="41"/>
  <c r="AA18" i="1"/>
  <c r="AA40" i="1" s="1"/>
  <c r="AA62" i="1" s="1" a="1"/>
  <c r="AM4" i="49" l="1"/>
  <c r="Z60" i="1" a="1"/>
  <c r="Z61" i="1" a="1"/>
  <c r="Z55" i="1" a="1"/>
  <c r="Z56" i="1" a="1"/>
  <c r="Z57" i="1" a="1"/>
  <c r="Z58" i="1" a="1"/>
  <c r="Z59" i="1" a="1"/>
  <c r="Z52" i="1" a="1"/>
  <c r="Z48" i="1" a="1"/>
  <c r="Z53" i="1" a="1"/>
  <c r="Z51" i="1" a="1"/>
  <c r="Z46" i="1" a="1"/>
  <c r="Z49" i="1" a="1"/>
  <c r="Z44" i="1" a="1"/>
  <c r="Z50" i="1" a="1"/>
  <c r="Z47" i="1" a="1"/>
  <c r="Z54" i="1" a="1"/>
  <c r="Z45" i="1" a="1"/>
  <c r="W39" i="41"/>
  <c r="AB18" i="1"/>
  <c r="AB40" i="1" s="1"/>
  <c r="AB62" i="1" s="1" a="1"/>
  <c r="AN4" i="49" l="1"/>
  <c r="AA60" i="1" a="1"/>
  <c r="AA61" i="1" a="1"/>
  <c r="AA55" i="1" a="1"/>
  <c r="AA56" i="1" a="1"/>
  <c r="AA57" i="1" a="1"/>
  <c r="AA59" i="1" a="1"/>
  <c r="AA58" i="1" a="1"/>
  <c r="AA51" i="1" a="1"/>
  <c r="AA50" i="1" a="1"/>
  <c r="AA49" i="1" a="1"/>
  <c r="AA48" i="1" a="1"/>
  <c r="AA47" i="1" a="1"/>
  <c r="AA46" i="1" a="1"/>
  <c r="AA45" i="1" a="1"/>
  <c r="AA44" i="1" a="1"/>
  <c r="AA54" i="1" a="1"/>
  <c r="AA53" i="1" a="1"/>
  <c r="AA52" i="1" a="1"/>
  <c r="X39" i="41"/>
  <c r="AC18" i="1"/>
  <c r="AC40" i="1" s="1"/>
  <c r="AC62" i="1" s="1" a="1"/>
  <c r="AO4" i="49" l="1"/>
  <c r="AB60" i="1" a="1"/>
  <c r="AB61" i="1" a="1"/>
  <c r="AB56" i="1" a="1"/>
  <c r="AB57" i="1" a="1"/>
  <c r="AB55" i="1" a="1"/>
  <c r="AB58" i="1" a="1"/>
  <c r="AB59" i="1" a="1"/>
  <c r="AB52" i="1" a="1"/>
  <c r="AB54" i="1" a="1"/>
  <c r="AB51" i="1" a="1"/>
  <c r="AB44" i="1" a="1"/>
  <c r="AB46" i="1" a="1"/>
  <c r="AB49" i="1" a="1"/>
  <c r="AB47" i="1" a="1"/>
  <c r="AB50" i="1" a="1"/>
  <c r="AB45" i="1" a="1"/>
  <c r="AB48" i="1" a="1"/>
  <c r="AB53" i="1" a="1"/>
  <c r="Y39" i="41"/>
  <c r="AD18" i="1"/>
  <c r="AD40" i="1" s="1"/>
  <c r="AD62" i="1" s="1" a="1"/>
  <c r="AP4" i="49" l="1"/>
  <c r="AC60" i="1" a="1"/>
  <c r="AC61" i="1" a="1"/>
  <c r="AC55" i="1" a="1"/>
  <c r="AC58" i="1" a="1"/>
  <c r="AC56" i="1" a="1"/>
  <c r="AC57" i="1" a="1"/>
  <c r="AC59" i="1" a="1"/>
  <c r="AC53" i="1" a="1"/>
  <c r="AC51" i="1" a="1"/>
  <c r="AC49" i="1" a="1"/>
  <c r="AC52" i="1" a="1"/>
  <c r="AC44" i="1" a="1"/>
  <c r="AC47" i="1" a="1"/>
  <c r="AC54" i="1" a="1"/>
  <c r="AC50" i="1" a="1"/>
  <c r="AC45" i="1" a="1"/>
  <c r="AC46" i="1" a="1"/>
  <c r="AC48" i="1" a="1"/>
  <c r="Z39" i="41"/>
  <c r="AE18" i="1"/>
  <c r="AE40" i="1" s="1"/>
  <c r="AE62" i="1" s="1" a="1"/>
  <c r="AQ4" i="49" l="1"/>
  <c r="AD60" i="1" a="1"/>
  <c r="AD61" i="1" a="1"/>
  <c r="AD56" i="1" a="1"/>
  <c r="AD55" i="1" a="1"/>
  <c r="AD57" i="1" a="1"/>
  <c r="AD58" i="1" a="1"/>
  <c r="AD59" i="1" a="1"/>
  <c r="AD54" i="1" a="1"/>
  <c r="AD53" i="1" a="1"/>
  <c r="AD52" i="1" a="1"/>
  <c r="AD44" i="1" a="1"/>
  <c r="AD47" i="1" a="1"/>
  <c r="AD50" i="1" a="1"/>
  <c r="AD45" i="1" a="1"/>
  <c r="AD48" i="1" a="1"/>
  <c r="AD51" i="1" a="1"/>
  <c r="AD49" i="1" a="1"/>
  <c r="AD46" i="1" a="1"/>
  <c r="AA39" i="41"/>
  <c r="AF18" i="1"/>
  <c r="AF40" i="1" s="1"/>
  <c r="AF62" i="1" s="1" a="1"/>
  <c r="AR4" i="49" l="1"/>
  <c r="AE59" i="1" a="1"/>
  <c r="AE60" i="1" a="1"/>
  <c r="AE61" i="1" a="1"/>
  <c r="AE57" i="1" a="1"/>
  <c r="AE55" i="1" a="1"/>
  <c r="AE56" i="1" a="1"/>
  <c r="AE58" i="1" a="1"/>
  <c r="AE52" i="1" a="1"/>
  <c r="AE47" i="1" a="1"/>
  <c r="AE50" i="1" a="1"/>
  <c r="AE54" i="1" a="1"/>
  <c r="AE45" i="1" a="1"/>
  <c r="AE48" i="1" a="1"/>
  <c r="AE46" i="1" a="1"/>
  <c r="AE44" i="1" a="1"/>
  <c r="AE51" i="1" a="1"/>
  <c r="AE53" i="1" a="1"/>
  <c r="AE49" i="1" a="1"/>
  <c r="AB39" i="41"/>
  <c r="AG18" i="1"/>
  <c r="AG40" i="1" s="1"/>
  <c r="AF59" i="1" l="1" a="1"/>
  <c r="AF60" i="1" a="1"/>
  <c r="AF61" i="1" a="1"/>
  <c r="AF55" i="1" a="1"/>
  <c r="AF56" i="1" a="1"/>
  <c r="AF58" i="1" a="1"/>
  <c r="AF57" i="1" a="1"/>
  <c r="AF51" i="1" a="1"/>
  <c r="AF52" i="1" a="1"/>
  <c r="AF50" i="1" a="1"/>
  <c r="AF49" i="1" a="1"/>
  <c r="AF54" i="1" a="1"/>
  <c r="AF45" i="1" a="1"/>
  <c r="AF48" i="1" a="1"/>
  <c r="AF46" i="1" a="1"/>
  <c r="AF53" i="1" a="1"/>
  <c r="AF44" i="1" a="1"/>
  <c r="AF47" i="1" a="1"/>
  <c r="AC39" i="41"/>
  <c r="AH18" i="1"/>
  <c r="AH40" i="1" s="1"/>
  <c r="AG59" i="1" l="1" a="1"/>
  <c r="AG60" i="1" a="1"/>
  <c r="AG61" i="1" a="1"/>
  <c r="AG55" i="1" a="1"/>
  <c r="AG56" i="1" a="1"/>
  <c r="AG57" i="1" a="1"/>
  <c r="AG58" i="1" a="1"/>
  <c r="AG52" i="1" a="1"/>
  <c r="AG49" i="1" a="1"/>
  <c r="AG48" i="1" a="1"/>
  <c r="AG47" i="1" a="1"/>
  <c r="AG46" i="1" a="1"/>
  <c r="AG45" i="1" a="1"/>
  <c r="AG54" i="1" a="1"/>
  <c r="AG53" i="1" a="1"/>
  <c r="AG51" i="1" a="1"/>
  <c r="AG50" i="1" a="1"/>
  <c r="AD39" i="41"/>
  <c r="AI18" i="1"/>
  <c r="AI40" i="1" s="1"/>
  <c r="AH59" i="1" l="1" a="1"/>
  <c r="AH60" i="1" a="1"/>
  <c r="AH61" i="1" a="1"/>
  <c r="AH56" i="1" a="1"/>
  <c r="AH58" i="1" a="1"/>
  <c r="AH55" i="1" a="1"/>
  <c r="AH57" i="1" a="1"/>
  <c r="AA9" i="41"/>
  <c r="AH53" i="1" a="1"/>
  <c r="AH54" i="1" a="1"/>
  <c r="AH51" i="1" a="1"/>
  <c r="AH48" i="1" a="1"/>
  <c r="AH46" i="1" a="1"/>
  <c r="AH49" i="1" a="1"/>
  <c r="AH47" i="1" a="1"/>
  <c r="AH50" i="1" a="1"/>
  <c r="AH45" i="1" a="1"/>
  <c r="AH52" i="1" a="1"/>
  <c r="AE39" i="41"/>
  <c r="AJ18" i="1"/>
  <c r="AJ40" i="1" s="1"/>
  <c r="AI59" i="1" l="1" a="1"/>
  <c r="AI60" i="1" a="1"/>
  <c r="AI61" i="1" a="1"/>
  <c r="AI55" i="1" a="1"/>
  <c r="AI57" i="1" a="1"/>
  <c r="AI56" i="1" a="1"/>
  <c r="AI58" i="1" a="1"/>
  <c r="AB9" i="41"/>
  <c r="AI54" i="1" a="1"/>
  <c r="AI53" i="1" a="1"/>
  <c r="AI46" i="1" a="1"/>
  <c r="AI51" i="1" a="1"/>
  <c r="AI49" i="1" a="1"/>
  <c r="AI47" i="1" a="1"/>
  <c r="AI52" i="1" a="1"/>
  <c r="AI50" i="1" a="1"/>
  <c r="AI48" i="1" a="1"/>
  <c r="AI45" i="1" a="1"/>
  <c r="AK18" i="1"/>
  <c r="AK40" i="1" s="1"/>
  <c r="AJ59" i="1" l="1" a="1"/>
  <c r="AJ60" i="1" a="1"/>
  <c r="AJ61" i="1" a="1"/>
  <c r="AJ56" i="1" a="1"/>
  <c r="AJ55" i="1" a="1"/>
  <c r="AJ57" i="1" a="1"/>
  <c r="AJ58" i="1" a="1"/>
  <c r="AC9" i="41"/>
  <c r="AJ54" i="1" a="1"/>
  <c r="AJ53" i="1" a="1"/>
  <c r="AJ52" i="1" a="1"/>
  <c r="AJ51" i="1" a="1"/>
  <c r="AJ49" i="1" a="1"/>
  <c r="AJ47" i="1" a="1"/>
  <c r="AJ50" i="1" a="1"/>
  <c r="AJ45" i="1" a="1"/>
  <c r="AJ48" i="1" a="1"/>
  <c r="AJ46" i="1" a="1"/>
  <c r="AL18" i="1"/>
  <c r="AL40" i="1" s="1"/>
  <c r="AK59" i="1" l="1" a="1"/>
  <c r="AK60" i="1" a="1"/>
  <c r="AK61" i="1" a="1"/>
  <c r="AK57" i="1" a="1"/>
  <c r="AK55" i="1" a="1"/>
  <c r="AK56" i="1" a="1"/>
  <c r="AK58" i="1" a="1"/>
  <c r="AD9" i="41"/>
  <c r="AK51" i="1" a="1"/>
  <c r="AK52" i="1" a="1"/>
  <c r="AK53" i="1" a="1"/>
  <c r="AK47" i="1" a="1"/>
  <c r="AK50" i="1" a="1"/>
  <c r="AK45" i="1" a="1"/>
  <c r="AK54" i="1" a="1"/>
  <c r="AK48" i="1" a="1"/>
  <c r="AK49" i="1" a="1"/>
  <c r="AK46" i="1" a="1"/>
  <c r="AM18" i="1"/>
  <c r="AM40" i="1" s="1"/>
  <c r="AL59" i="1" l="1" a="1"/>
  <c r="AL60" i="1" a="1"/>
  <c r="AL61" i="1" a="1"/>
  <c r="AL55" i="1" a="1"/>
  <c r="AL56" i="1" a="1"/>
  <c r="AL58" i="1" a="1"/>
  <c r="AL57" i="1" a="1"/>
  <c r="AE9" i="41"/>
  <c r="AL52" i="1" a="1"/>
  <c r="AL50" i="1" a="1"/>
  <c r="AL49" i="1" a="1"/>
  <c r="AL48" i="1" a="1"/>
  <c r="AL47" i="1" a="1"/>
  <c r="AL46" i="1" a="1"/>
  <c r="AL45" i="1" a="1"/>
  <c r="AL54" i="1" a="1"/>
  <c r="AL51" i="1" a="1"/>
  <c r="AL53" i="1" a="1"/>
  <c r="AN18" i="1"/>
  <c r="AN40" i="1" s="1"/>
  <c r="AM59" i="1" l="1" a="1"/>
  <c r="AM60" i="1" a="1"/>
  <c r="AM61" i="1" a="1"/>
  <c r="AM55" i="1" a="1"/>
  <c r="AM56" i="1" a="1"/>
  <c r="AM57" i="1" a="1"/>
  <c r="AM58" i="1" a="1"/>
  <c r="AM53" i="1" a="1"/>
  <c r="AM45" i="1" a="1"/>
  <c r="AM54" i="1" a="1"/>
  <c r="AM50" i="1" a="1"/>
  <c r="AM52" i="1" a="1"/>
  <c r="AM48" i="1" a="1"/>
  <c r="AM46" i="1" a="1"/>
  <c r="AM51" i="1" a="1"/>
  <c r="AM49" i="1" a="1"/>
  <c r="AM47" i="1" a="1"/>
  <c r="AO18" i="1"/>
  <c r="AO40" i="1" s="1"/>
  <c r="AN59" i="1" l="1" a="1"/>
  <c r="AN60" i="1" a="1"/>
  <c r="AN61" i="1" a="1"/>
  <c r="AN55" i="1" a="1"/>
  <c r="AN56" i="1" a="1"/>
  <c r="AN57" i="1" a="1"/>
  <c r="AN58" i="1" a="1"/>
  <c r="AN54" i="1" a="1"/>
  <c r="AN51" i="1" a="1"/>
  <c r="AN52" i="1" a="1"/>
  <c r="AN45" i="1" a="1"/>
  <c r="AN48" i="1" a="1"/>
  <c r="AN46" i="1" a="1"/>
  <c r="AN53" i="1" a="1"/>
  <c r="AN49" i="1" a="1"/>
  <c r="AN47" i="1" a="1"/>
  <c r="AN50" i="1" a="1"/>
  <c r="AP18" i="1"/>
  <c r="AP40" i="1" s="1"/>
  <c r="AO59" i="1" l="1" a="1"/>
  <c r="AO60" i="1" a="1"/>
  <c r="AO61" i="1" a="1"/>
  <c r="AO55" i="1" a="1"/>
  <c r="AO56" i="1" a="1"/>
  <c r="AO57" i="1" a="1"/>
  <c r="AO58" i="1" a="1"/>
  <c r="AO53" i="1" a="1"/>
  <c r="AO54" i="1" a="1"/>
  <c r="AO46" i="1" a="1"/>
  <c r="AO49" i="1" a="1"/>
  <c r="AO51" i="1" a="1"/>
  <c r="AO47" i="1" a="1"/>
  <c r="AO48" i="1" a="1"/>
  <c r="AO45" i="1" a="1"/>
  <c r="AO50" i="1" a="1"/>
  <c r="AO52" i="1" a="1"/>
  <c r="AQ18" i="1"/>
  <c r="AQ40" i="1" s="1"/>
  <c r="AP59" i="1" l="1" a="1"/>
  <c r="AP60" i="1" a="1"/>
  <c r="AP61" i="1" a="1"/>
  <c r="AP56" i="1" a="1"/>
  <c r="AP58" i="1" a="1"/>
  <c r="AP55" i="1" a="1"/>
  <c r="AP57" i="1" a="1"/>
  <c r="AP51" i="1" a="1"/>
  <c r="AP53" i="1" a="1"/>
  <c r="AP54" i="1" a="1"/>
  <c r="AP46" i="1" a="1"/>
  <c r="AP49" i="1" a="1"/>
  <c r="AP47" i="1" a="1"/>
  <c r="AP50" i="1" a="1"/>
  <c r="AP45" i="1" a="1"/>
  <c r="AP48" i="1" a="1"/>
  <c r="AP52" i="1" a="1"/>
  <c r="AR18" i="1"/>
  <c r="AR40" i="1" s="1"/>
  <c r="AQ59" i="1" l="1" a="1"/>
  <c r="AQ60" i="1" a="1"/>
  <c r="AQ61" i="1" a="1"/>
  <c r="AQ55" i="1" a="1"/>
  <c r="AQ56" i="1" a="1"/>
  <c r="AQ58" i="1" a="1"/>
  <c r="AQ57" i="1" a="1"/>
  <c r="AQ52" i="1" a="1"/>
  <c r="AQ50" i="1" a="1"/>
  <c r="AQ49" i="1" a="1"/>
  <c r="AQ51" i="1" a="1"/>
  <c r="AQ47" i="1" a="1"/>
  <c r="AQ53" i="1" a="1"/>
  <c r="AQ45" i="1" a="1"/>
  <c r="AQ48" i="1" a="1"/>
  <c r="AQ54" i="1" a="1"/>
  <c r="AQ46" i="1" a="1"/>
  <c r="AS18" i="1"/>
  <c r="AS40" i="1" s="1"/>
  <c r="AR59" i="1" l="1" a="1"/>
  <c r="AR60" i="1" a="1"/>
  <c r="AR61" i="1" a="1"/>
  <c r="AR55" i="1" a="1"/>
  <c r="AR56" i="1" a="1"/>
  <c r="AR58" i="1" a="1"/>
  <c r="AR57" i="1" a="1"/>
  <c r="AR53" i="1" a="1"/>
  <c r="AR50" i="1" a="1"/>
  <c r="AR49" i="1" a="1"/>
  <c r="AR48" i="1" a="1"/>
  <c r="AR47" i="1" a="1"/>
  <c r="AR46" i="1" a="1"/>
  <c r="AR52" i="1" a="1"/>
  <c r="AR45" i="1" a="1"/>
  <c r="AR51" i="1" a="1"/>
  <c r="AR54" i="1" a="1"/>
  <c r="AT18" i="1"/>
  <c r="AT40" i="1" s="1"/>
  <c r="AT62" i="1" s="1" a="1"/>
  <c r="AS59" i="1" l="1" a="1"/>
  <c r="AS60" i="1" a="1"/>
  <c r="AS61" i="1" a="1"/>
  <c r="AS55" i="1" a="1"/>
  <c r="AS56" i="1" a="1"/>
  <c r="AS57" i="1" a="1"/>
  <c r="AS58" i="1" a="1"/>
  <c r="AS54" i="1" a="1"/>
  <c r="AS53" i="1" a="1"/>
  <c r="AS47" i="1" a="1"/>
  <c r="AS50" i="1" a="1"/>
  <c r="AS45" i="1" a="1"/>
  <c r="AS48" i="1" a="1"/>
  <c r="AS52" i="1" a="1"/>
  <c r="AS49" i="1" a="1"/>
  <c r="AS46" i="1" a="1"/>
  <c r="AS51" i="1" a="1"/>
  <c r="AU18" i="1"/>
  <c r="AU40" i="1" s="1"/>
  <c r="AU62" i="1" s="1" a="1"/>
  <c r="AT59" i="1" l="1" a="1"/>
  <c r="AT60" i="1" a="1"/>
  <c r="AT56" i="1" a="1"/>
  <c r="AT61" i="1" a="1"/>
  <c r="AT55" i="1" a="1"/>
  <c r="AT58" i="1" a="1"/>
  <c r="AT57" i="1" a="1"/>
  <c r="AT51" i="1" a="1"/>
  <c r="AT54" i="1" a="1"/>
  <c r="AT50" i="1" a="1"/>
  <c r="AT45" i="1" a="1"/>
  <c r="AT48" i="1" a="1"/>
  <c r="AT52" i="1" a="1"/>
  <c r="AT46" i="1" a="1"/>
  <c r="AT49" i="1" a="1"/>
  <c r="AT53" i="1" a="1"/>
  <c r="AT47" i="1" a="1"/>
  <c r="AV18" i="1"/>
  <c r="AV40" i="1" s="1"/>
  <c r="AV62" i="1" s="1" a="1"/>
  <c r="AU59" i="1" l="1" a="1"/>
  <c r="AU60" i="1" a="1"/>
  <c r="AU61" i="1" a="1"/>
  <c r="AU55" i="1" a="1"/>
  <c r="AU56" i="1" a="1"/>
  <c r="AU58" i="1" a="1"/>
  <c r="AU57" i="1" a="1"/>
  <c r="AU51" i="1" a="1"/>
  <c r="AU54" i="1" a="1"/>
  <c r="AU53" i="1" a="1"/>
  <c r="AU52" i="1" a="1"/>
  <c r="AU48" i="1" a="1"/>
  <c r="AU46" i="1" a="1"/>
  <c r="AU49" i="1" a="1"/>
  <c r="AU44" i="1" a="1"/>
  <c r="AU50" i="1" a="1"/>
  <c r="AU47" i="1" a="1"/>
  <c r="AU45" i="1" a="1"/>
  <c r="AW18" i="1"/>
  <c r="AW40" i="1" s="1"/>
  <c r="AW62" i="1" s="1" a="1"/>
  <c r="AV59" i="1" l="1" a="1"/>
  <c r="AV60" i="1" a="1"/>
  <c r="AV58" i="1" a="1"/>
  <c r="AV55" i="1" a="1"/>
  <c r="AV56" i="1" a="1"/>
  <c r="AV57" i="1" a="1"/>
  <c r="AV61" i="1" a="1"/>
  <c r="AV52" i="1" a="1"/>
  <c r="AV53" i="1" a="1"/>
  <c r="AV46" i="1" a="1"/>
  <c r="AV54" i="1" a="1"/>
  <c r="AV49" i="1" a="1"/>
  <c r="AV44" i="1" a="1"/>
  <c r="AV47" i="1" a="1"/>
  <c r="AV51" i="1" a="1"/>
  <c r="AV50" i="1" a="1"/>
  <c r="AV45" i="1" a="1"/>
  <c r="AV48" i="1" a="1"/>
  <c r="AX18" i="1"/>
  <c r="AX40" i="1" s="1"/>
  <c r="AX62" i="1" s="1" a="1"/>
  <c r="AW59" i="1" l="1" a="1"/>
  <c r="AW60" i="1" a="1"/>
  <c r="AW61" i="1" a="1"/>
  <c r="AW56" i="1" a="1"/>
  <c r="AW55" i="1" a="1"/>
  <c r="AW58" i="1" a="1"/>
  <c r="AW57" i="1" a="1"/>
  <c r="AW53" i="1" a="1"/>
  <c r="AW50" i="1" a="1"/>
  <c r="AW49" i="1" a="1"/>
  <c r="AW48" i="1" a="1"/>
  <c r="AW47" i="1" a="1"/>
  <c r="AW46" i="1" a="1"/>
  <c r="AW54" i="1" a="1"/>
  <c r="AW44" i="1" a="1"/>
  <c r="AW51" i="1" a="1"/>
  <c r="AW45" i="1" a="1"/>
  <c r="AW52" i="1" a="1"/>
  <c r="AY18" i="1"/>
  <c r="AY40" i="1" s="1"/>
  <c r="AY62" i="1" s="1" a="1"/>
  <c r="AX59" i="1" l="1" a="1"/>
  <c r="AX60" i="1" a="1"/>
  <c r="AX58" i="1" a="1"/>
  <c r="AX55" i="1" a="1"/>
  <c r="AX56" i="1" a="1"/>
  <c r="AX61" i="1" a="1"/>
  <c r="AX57" i="1" a="1"/>
  <c r="AX54" i="1" a="1"/>
  <c r="AX46" i="1" a="1"/>
  <c r="AX45" i="1" a="1"/>
  <c r="AX44" i="1" a="1"/>
  <c r="AX52" i="1" a="1"/>
  <c r="AX49" i="1" a="1"/>
  <c r="AX51" i="1" a="1"/>
  <c r="AX47" i="1" a="1"/>
  <c r="AX53" i="1" a="1"/>
  <c r="AX50" i="1" a="1"/>
  <c r="AX48" i="1" a="1"/>
  <c r="AZ18" i="1"/>
  <c r="AZ40" i="1" s="1"/>
  <c r="AZ62" i="1" s="1" a="1"/>
  <c r="AY59" i="1" l="1" a="1"/>
  <c r="AY60" i="1" a="1"/>
  <c r="AY56" i="1" a="1"/>
  <c r="AY61" i="1" a="1"/>
  <c r="AY55" i="1" a="1"/>
  <c r="AY58" i="1" a="1"/>
  <c r="AY57" i="1" a="1"/>
  <c r="AY51" i="1" a="1"/>
  <c r="AY44" i="1" a="1"/>
  <c r="AY47" i="1" a="1"/>
  <c r="AY53" i="1" a="1"/>
  <c r="AY50" i="1" a="1"/>
  <c r="AY45" i="1" a="1"/>
  <c r="AY48" i="1" a="1"/>
  <c r="AY49" i="1" a="1"/>
  <c r="AY46" i="1" a="1"/>
  <c r="AY52" i="1" a="1"/>
  <c r="AY54" i="1" a="1"/>
  <c r="AZ59" i="1" l="1" a="1"/>
  <c r="AZ60" i="1" a="1"/>
  <c r="AZ61" i="1" a="1"/>
  <c r="AZ57" i="1" a="1"/>
  <c r="AZ55" i="1" a="1"/>
  <c r="AZ56" i="1" a="1"/>
  <c r="AZ58" i="1" a="1"/>
  <c r="AZ51" i="1" a="1"/>
  <c r="AZ54" i="1" a="1"/>
  <c r="AZ47" i="1" a="1"/>
  <c r="AZ53" i="1" a="1"/>
  <c r="AZ50" i="1" a="1"/>
  <c r="AZ45" i="1" a="1"/>
  <c r="AZ48" i="1" a="1"/>
  <c r="AZ52" i="1" a="1"/>
  <c r="AZ46" i="1" a="1"/>
  <c r="AZ44" i="1" a="1"/>
  <c r="AZ49" i="1" a="1"/>
  <c r="AC45" i="39" l="1"/>
  <c r="E45" i="1" l="1"/>
  <c r="E46" i="1" s="1"/>
  <c r="G42" i="41" l="1"/>
  <c r="G18" i="43"/>
  <c r="H18" i="43"/>
  <c r="I18" i="43"/>
  <c r="J18" i="43"/>
  <c r="K18" i="43"/>
  <c r="L18" i="43"/>
  <c r="M18" i="43"/>
  <c r="N18" i="43"/>
  <c r="O18" i="43"/>
  <c r="P18" i="43"/>
  <c r="Q18" i="43"/>
  <c r="R18" i="43"/>
  <c r="S18" i="43"/>
  <c r="T18" i="43"/>
  <c r="U18" i="43"/>
  <c r="V18" i="43"/>
  <c r="W18" i="43"/>
  <c r="X18" i="43"/>
  <c r="Y18" i="43"/>
  <c r="Z18" i="43"/>
  <c r="AA18" i="43"/>
  <c r="AB18" i="43"/>
  <c r="AC18" i="43"/>
  <c r="AD18" i="43"/>
  <c r="AE18" i="43"/>
  <c r="AF18" i="43"/>
  <c r="AG18" i="43"/>
  <c r="AH18" i="43"/>
  <c r="AI18" i="43"/>
  <c r="AJ18" i="43"/>
  <c r="AK18" i="43"/>
  <c r="AL18" i="43"/>
  <c r="AM18" i="43"/>
  <c r="AN18" i="43"/>
  <c r="AO18" i="43"/>
  <c r="AP18" i="43"/>
  <c r="AQ18" i="43"/>
  <c r="AR18" i="43"/>
  <c r="AS18" i="43"/>
  <c r="E18" i="43" l="1"/>
  <c r="H42" i="41"/>
  <c r="G45" i="41"/>
  <c r="I42" i="41" l="1"/>
  <c r="H45" i="41"/>
  <c r="J71" i="45"/>
  <c r="J72" i="45" s="1"/>
  <c r="G53" i="41"/>
  <c r="G9" i="42" l="1"/>
  <c r="M27" i="1" s="1"/>
  <c r="K71" i="45"/>
  <c r="K72" i="45" s="1"/>
  <c r="H53" i="41"/>
  <c r="J79" i="45"/>
  <c r="G79" i="42"/>
  <c r="J42" i="41"/>
  <c r="I45" i="41"/>
  <c r="L71" i="45" l="1"/>
  <c r="L72" i="45" s="1"/>
  <c r="I53" i="41"/>
  <c r="K42" i="41"/>
  <c r="J45" i="41"/>
  <c r="H9" i="42"/>
  <c r="N27" i="1" s="1"/>
  <c r="K79" i="45"/>
  <c r="H79" i="42"/>
  <c r="L42" i="41" l="1"/>
  <c r="K45" i="41"/>
  <c r="I9" i="42"/>
  <c r="O27" i="1" s="1"/>
  <c r="M71" i="45"/>
  <c r="M72" i="45" s="1"/>
  <c r="J53" i="41"/>
  <c r="L79" i="45"/>
  <c r="I79" i="42"/>
  <c r="M79" i="45" l="1"/>
  <c r="J79" i="42"/>
  <c r="J9" i="42"/>
  <c r="P27" i="1" s="1"/>
  <c r="N71" i="45"/>
  <c r="N72" i="45" s="1"/>
  <c r="K53" i="41"/>
  <c r="M42" i="41"/>
  <c r="L45" i="41"/>
  <c r="K9" i="42" l="1"/>
  <c r="Q27" i="1" s="1"/>
  <c r="N79" i="45"/>
  <c r="K79" i="42"/>
  <c r="O71" i="45"/>
  <c r="O72" i="45" s="1"/>
  <c r="L53" i="41"/>
  <c r="N42" i="41"/>
  <c r="M45" i="41"/>
  <c r="L9" i="42" l="1"/>
  <c r="R27" i="1" s="1"/>
  <c r="O42" i="41"/>
  <c r="N45" i="41"/>
  <c r="P71" i="45"/>
  <c r="P72" i="45" s="1"/>
  <c r="M53" i="41"/>
  <c r="L79" i="42"/>
  <c r="O79" i="45"/>
  <c r="M79" i="42" l="1"/>
  <c r="P79" i="45"/>
  <c r="N53" i="41"/>
  <c r="Q71" i="45"/>
  <c r="Q72" i="45" s="1"/>
  <c r="M9" i="42"/>
  <c r="S27" i="1" s="1"/>
  <c r="P42" i="41"/>
  <c r="O45" i="41"/>
  <c r="Q42" i="41" l="1"/>
  <c r="P45" i="41"/>
  <c r="O53" i="41"/>
  <c r="R71" i="45"/>
  <c r="R72" i="45" s="1"/>
  <c r="N79" i="42"/>
  <c r="Q79" i="45"/>
  <c r="N9" i="42"/>
  <c r="T27" i="1" s="1"/>
  <c r="O79" i="42" l="1"/>
  <c r="R79" i="45"/>
  <c r="O9" i="42"/>
  <c r="U27" i="1" s="1"/>
  <c r="P53" i="41"/>
  <c r="S71" i="45"/>
  <c r="S72" i="45" s="1"/>
  <c r="R42" i="41"/>
  <c r="Q45" i="41"/>
  <c r="Q53" i="41" l="1"/>
  <c r="T71" i="45"/>
  <c r="T72" i="45" s="1"/>
  <c r="S42" i="41"/>
  <c r="R45" i="41"/>
  <c r="S79" i="45"/>
  <c r="P79" i="42"/>
  <c r="P9" i="42"/>
  <c r="V27" i="1" s="1"/>
  <c r="T42" i="41" l="1"/>
  <c r="S45" i="41"/>
  <c r="Q79" i="42"/>
  <c r="T79" i="45"/>
  <c r="U71" i="45"/>
  <c r="U72" i="45" s="1"/>
  <c r="R53" i="41"/>
  <c r="Q9" i="42"/>
  <c r="W27" i="1" s="1"/>
  <c r="U79" i="45" l="1"/>
  <c r="R79" i="42"/>
  <c r="R9" i="42"/>
  <c r="X27" i="1" s="1"/>
  <c r="V71" i="45"/>
  <c r="V72" i="45" s="1"/>
  <c r="S53" i="41"/>
  <c r="U42" i="41"/>
  <c r="T45" i="41"/>
  <c r="T53" i="41" l="1"/>
  <c r="W71" i="45"/>
  <c r="W72" i="45" s="1"/>
  <c r="S9" i="42"/>
  <c r="Y27" i="1" s="1"/>
  <c r="V42" i="41"/>
  <c r="U45" i="41"/>
  <c r="V79" i="45"/>
  <c r="S79" i="42"/>
  <c r="X71" i="45" l="1"/>
  <c r="X72" i="45" s="1"/>
  <c r="U53" i="41"/>
  <c r="W42" i="41"/>
  <c r="V45" i="41"/>
  <c r="W79" i="45"/>
  <c r="T79" i="42"/>
  <c r="T9" i="42"/>
  <c r="Z27" i="1" s="1"/>
  <c r="Y71" i="45" l="1"/>
  <c r="Y72" i="45" s="1"/>
  <c r="V53" i="41"/>
  <c r="U9" i="42"/>
  <c r="AA27" i="1" s="1"/>
  <c r="X42" i="41"/>
  <c r="W45" i="41"/>
  <c r="X79" i="45"/>
  <c r="U79" i="42"/>
  <c r="Y42" i="41" l="1"/>
  <c r="X45" i="41"/>
  <c r="Z71" i="45"/>
  <c r="Z72" i="45" s="1"/>
  <c r="W53" i="41"/>
  <c r="V9" i="42"/>
  <c r="AB27" i="1" s="1"/>
  <c r="Y79" i="45"/>
  <c r="V79" i="42"/>
  <c r="W9" i="42" l="1"/>
  <c r="AC27" i="1" s="1"/>
  <c r="W79" i="42"/>
  <c r="Z79" i="45"/>
  <c r="AA71" i="45"/>
  <c r="AA72" i="45" s="1"/>
  <c r="X53" i="41"/>
  <c r="Z42" i="41"/>
  <c r="Y45" i="41"/>
  <c r="X9" i="42" l="1"/>
  <c r="AD27" i="1" s="1"/>
  <c r="AA42" i="41"/>
  <c r="Z45" i="41"/>
  <c r="AB71" i="45"/>
  <c r="AB72" i="45" s="1"/>
  <c r="Y53" i="41"/>
  <c r="AA79" i="45"/>
  <c r="X79" i="42"/>
  <c r="Y79" i="42" l="1"/>
  <c r="AB79" i="45"/>
  <c r="Y9" i="42"/>
  <c r="AE27" i="1" s="1"/>
  <c r="AC71" i="45"/>
  <c r="AC72" i="45" s="1"/>
  <c r="Z53" i="41"/>
  <c r="AB42" i="41"/>
  <c r="AA45" i="41"/>
  <c r="AC79" i="45" l="1"/>
  <c r="Z79" i="42"/>
  <c r="AD71" i="45"/>
  <c r="AD72" i="45" s="1"/>
  <c r="AA53" i="41"/>
  <c r="AC42" i="41"/>
  <c r="AB45" i="41"/>
  <c r="Z9" i="42"/>
  <c r="AF27" i="1" s="1"/>
  <c r="AE71" i="45" l="1"/>
  <c r="AE72" i="45" s="1"/>
  <c r="AB53" i="41"/>
  <c r="AD79" i="45"/>
  <c r="AA79" i="42"/>
  <c r="AA9" i="42"/>
  <c r="AG27" i="1" s="1"/>
  <c r="AD42" i="41"/>
  <c r="AC45" i="41"/>
  <c r="AF71" i="45" l="1"/>
  <c r="AF72" i="45" s="1"/>
  <c r="AC53" i="41"/>
  <c r="AE42" i="41"/>
  <c r="AE45" i="41" s="1"/>
  <c r="AD45" i="41"/>
  <c r="AB9" i="42"/>
  <c r="AH27" i="1" s="1"/>
  <c r="AB79" i="42"/>
  <c r="AE79" i="45"/>
  <c r="AD53" i="41" l="1"/>
  <c r="AG71" i="45"/>
  <c r="AG72" i="45" s="1"/>
  <c r="AF79" i="45"/>
  <c r="AC79" i="42"/>
  <c r="AH71" i="45"/>
  <c r="AH72" i="45" s="1"/>
  <c r="AE53" i="41"/>
  <c r="AC9" i="42"/>
  <c r="AI27" i="1" s="1"/>
  <c r="AG79" i="45" l="1"/>
  <c r="AD79" i="42"/>
  <c r="AE9" i="42"/>
  <c r="AK27" i="1" s="1"/>
  <c r="AH79" i="45"/>
  <c r="AE79" i="42"/>
  <c r="AD9" i="42"/>
  <c r="AJ27" i="1" s="1"/>
  <c r="E23" i="1" l="1"/>
  <c r="E59" i="1" l="1"/>
  <c r="E63" i="1"/>
  <c r="AC41" i="39" l="1"/>
  <c r="AC19" i="39"/>
  <c r="E11" i="44"/>
  <c r="J46" i="40" l="1"/>
  <c r="L46" i="40"/>
  <c r="N46" i="40"/>
  <c r="O46" i="40"/>
  <c r="H46" i="40"/>
  <c r="I46" i="40"/>
  <c r="K46" i="40"/>
  <c r="M46" i="40"/>
  <c r="P46" i="40"/>
  <c r="Q46" i="40"/>
  <c r="E61" i="1" l="1"/>
  <c r="E55" i="1" l="1" a="1"/>
  <c r="AC15" i="39"/>
  <c r="AC22" i="39"/>
  <c r="E9" i="44" s="1"/>
  <c r="E60" i="1"/>
  <c r="AC23" i="39" s="1"/>
  <c r="E10" i="44" s="1"/>
  <c r="E62" i="1"/>
  <c r="K27" i="1" s="1"/>
  <c r="E26" i="40" l="1"/>
  <c r="E14" i="40"/>
  <c r="AD14" i="44"/>
  <c r="T13" i="44"/>
  <c r="Z14" i="44"/>
  <c r="X13" i="44"/>
  <c r="AE13" i="44"/>
  <c r="S14" i="44"/>
  <c r="Z13" i="44"/>
  <c r="V13" i="44"/>
  <c r="U13" i="44"/>
  <c r="U14" i="44"/>
  <c r="AD13" i="44"/>
  <c r="AA14" i="44"/>
  <c r="AC14" i="44"/>
  <c r="AE14" i="44"/>
  <c r="V14" i="44"/>
  <c r="AC13" i="44"/>
  <c r="Q14" i="44"/>
  <c r="W14" i="44"/>
  <c r="R14" i="44"/>
  <c r="R13" i="44"/>
  <c r="AB14" i="44"/>
  <c r="Q13" i="44"/>
  <c r="T14" i="44"/>
  <c r="X14" i="44"/>
  <c r="W13" i="44"/>
  <c r="AB13" i="44"/>
  <c r="AA13" i="44"/>
  <c r="S13" i="44"/>
  <c r="Y14" i="44"/>
  <c r="Y13" i="44"/>
  <c r="AC16" i="39"/>
  <c r="D42" i="43" s="1"/>
  <c r="AC28" i="39"/>
  <c r="AQ34" i="1" l="1"/>
  <c r="AN34" i="1"/>
  <c r="AX34" i="1"/>
  <c r="AP34" i="1"/>
  <c r="AR34" i="1"/>
  <c r="AS34" i="1"/>
  <c r="AT34" i="1"/>
  <c r="AU34" i="1"/>
  <c r="AV34" i="1"/>
  <c r="AM34" i="1"/>
  <c r="AW34" i="1"/>
  <c r="AY34" i="1"/>
  <c r="AZ34" i="1"/>
  <c r="AO34" i="1"/>
  <c r="AL34" i="1"/>
  <c r="S45" i="42"/>
  <c r="Z35" i="45"/>
  <c r="V45" i="42"/>
  <c r="AA45" i="42"/>
  <c r="Q44" i="42"/>
  <c r="Z45" i="42"/>
  <c r="AB45" i="42"/>
  <c r="AC29" i="44"/>
  <c r="V31" i="45"/>
  <c r="W29" i="44"/>
  <c r="Y35" i="45"/>
  <c r="AE45" i="42"/>
  <c r="X15" i="42"/>
  <c r="AH31" i="45"/>
  <c r="X45" i="42"/>
  <c r="W35" i="45"/>
  <c r="AF31" i="45"/>
  <c r="Z15" i="42"/>
  <c r="Q45" i="42"/>
  <c r="AD35" i="45"/>
  <c r="T45" i="42"/>
  <c r="AB28" i="44"/>
  <c r="AD45" i="42"/>
  <c r="AG31" i="45"/>
  <c r="Y29" i="44"/>
  <c r="R45" i="42"/>
  <c r="X35" i="45"/>
  <c r="Y44" i="42"/>
  <c r="U35" i="45"/>
  <c r="U45" i="42"/>
  <c r="AD15" i="42"/>
  <c r="W31" i="45"/>
  <c r="T44" i="42"/>
  <c r="AD28" i="44"/>
  <c r="T15" i="42"/>
  <c r="T29" i="44"/>
  <c r="AE35" i="45"/>
  <c r="AE31" i="45"/>
  <c r="AB15" i="42"/>
  <c r="AB44" i="42"/>
  <c r="X29" i="44"/>
  <c r="AD44" i="42"/>
  <c r="AG35" i="45"/>
  <c r="T28" i="44"/>
  <c r="Q29" i="44"/>
  <c r="AC35" i="45"/>
  <c r="Z28" i="44"/>
  <c r="Z44" i="42"/>
  <c r="AC31" i="45"/>
  <c r="AB35" i="45"/>
  <c r="W45" i="42"/>
  <c r="U28" i="44"/>
  <c r="AH35" i="45"/>
  <c r="AA29" i="44"/>
  <c r="AE28" i="44"/>
  <c r="U15" i="42"/>
  <c r="Z29" i="44"/>
  <c r="S29" i="44"/>
  <c r="X31" i="45"/>
  <c r="U44" i="42"/>
  <c r="V29" i="44"/>
  <c r="AE29" i="44"/>
  <c r="X44" i="42"/>
  <c r="AB29" i="44"/>
  <c r="AD29" i="44"/>
  <c r="AC15" i="42"/>
  <c r="X28" i="44"/>
  <c r="U29" i="44"/>
  <c r="AA35" i="45"/>
  <c r="V35" i="45"/>
  <c r="S44" i="42"/>
  <c r="S28" i="44"/>
  <c r="AE44" i="42"/>
  <c r="AE15" i="42"/>
  <c r="S15" i="42"/>
  <c r="AA31" i="45"/>
  <c r="Y15" i="42"/>
  <c r="Y31" i="45"/>
  <c r="T31" i="45"/>
  <c r="AC45" i="42"/>
  <c r="Y45" i="42"/>
  <c r="R29" i="44"/>
  <c r="V44" i="42"/>
  <c r="AF35" i="45"/>
  <c r="Q28" i="44"/>
  <c r="T35" i="45"/>
  <c r="Q15" i="42"/>
  <c r="R15" i="42"/>
  <c r="W28" i="44"/>
  <c r="AC28" i="44"/>
  <c r="AA15" i="42"/>
  <c r="V28" i="44"/>
  <c r="AD31" i="45"/>
  <c r="V15" i="42"/>
  <c r="Z31" i="45"/>
  <c r="AC44" i="42"/>
  <c r="AA44" i="42"/>
  <c r="U31" i="45"/>
  <c r="W15" i="42"/>
  <c r="AA28" i="44"/>
  <c r="Y28" i="44"/>
  <c r="W44" i="42"/>
  <c r="AB31" i="45"/>
  <c r="R28" i="44"/>
  <c r="R44" i="42"/>
  <c r="T57" i="42" l="1"/>
  <c r="T19" i="44" s="1"/>
  <c r="Z56" i="42"/>
  <c r="Z18" i="44" s="1"/>
  <c r="V46" i="42"/>
  <c r="AD57" i="42"/>
  <c r="AD19" i="44" s="1"/>
  <c r="R57" i="42"/>
  <c r="R19" i="44" s="1"/>
  <c r="S56" i="42"/>
  <c r="S18" i="44" s="1"/>
  <c r="Q56" i="42"/>
  <c r="Q18" i="44" s="1"/>
  <c r="X57" i="42"/>
  <c r="X19" i="44" s="1"/>
  <c r="Y56" i="42"/>
  <c r="Y18" i="44" s="1"/>
  <c r="U57" i="42"/>
  <c r="U19" i="44" s="1"/>
  <c r="Q57" i="42"/>
  <c r="Q19" i="44" s="1"/>
  <c r="AA57" i="42"/>
  <c r="AA19" i="44" s="1"/>
  <c r="AB57" i="42"/>
  <c r="AB19" i="44" s="1"/>
  <c r="Q46" i="42"/>
  <c r="AE57" i="42"/>
  <c r="AE19" i="44" s="1"/>
  <c r="T56" i="42"/>
  <c r="T18" i="44" s="1"/>
  <c r="T46" i="42"/>
  <c r="AB46" i="42"/>
  <c r="AB56" i="42"/>
  <c r="AB18" i="44" s="1"/>
  <c r="AD56" i="42"/>
  <c r="AD18" i="44" s="1"/>
  <c r="AD46" i="42"/>
  <c r="Z46" i="42"/>
  <c r="Z57" i="42"/>
  <c r="Z19" i="44" s="1"/>
  <c r="AA56" i="42"/>
  <c r="AA18" i="44" s="1"/>
  <c r="W56" i="42"/>
  <c r="W18" i="44" s="1"/>
  <c r="AA46" i="42"/>
  <c r="V56" i="42"/>
  <c r="V18" i="44" s="1"/>
  <c r="R56" i="42"/>
  <c r="R18" i="44" s="1"/>
  <c r="Y57" i="42"/>
  <c r="Y19" i="44" s="1"/>
  <c r="Y46" i="42"/>
  <c r="X46" i="42"/>
  <c r="U56" i="42"/>
  <c r="U18" i="44" s="1"/>
  <c r="X56" i="42"/>
  <c r="X18" i="44" s="1"/>
  <c r="U46" i="42"/>
  <c r="S57" i="42"/>
  <c r="S19" i="44" s="1"/>
  <c r="S46" i="42"/>
  <c r="R46" i="42"/>
  <c r="AC56" i="42"/>
  <c r="AC18" i="44" s="1"/>
  <c r="AC57" i="42"/>
  <c r="AC19" i="44" s="1"/>
  <c r="AC46" i="42"/>
  <c r="AE46" i="42"/>
  <c r="AE56" i="42"/>
  <c r="AE18" i="44" s="1"/>
  <c r="V57" i="42"/>
  <c r="V19" i="44" s="1"/>
  <c r="W46" i="42"/>
  <c r="W57" i="42"/>
  <c r="W19" i="44" s="1"/>
  <c r="AL46" i="40" l="1"/>
  <c r="AM46" i="40"/>
  <c r="AN46" i="40"/>
  <c r="AP46" i="40"/>
  <c r="AO46" i="40"/>
  <c r="Y28" i="49" l="1"/>
  <c r="M23" i="39" l="1"/>
  <c r="M47" i="39" l="1"/>
  <c r="F51" i="40"/>
  <c r="F19" i="43"/>
  <c r="G19" i="43"/>
  <c r="H19" i="43"/>
  <c r="I19" i="43"/>
  <c r="J19" i="43"/>
  <c r="K19" i="43"/>
  <c r="L19" i="43"/>
  <c r="M19" i="43"/>
  <c r="N19" i="43"/>
  <c r="O19" i="43"/>
  <c r="P19" i="43"/>
  <c r="Q19" i="43"/>
  <c r="R19" i="43"/>
  <c r="S19" i="43"/>
  <c r="T19" i="43"/>
  <c r="U19" i="43"/>
  <c r="V19" i="43"/>
  <c r="W19" i="43"/>
  <c r="X19" i="43"/>
  <c r="Y19" i="43"/>
  <c r="Z19" i="43"/>
  <c r="AA19" i="43"/>
  <c r="AB19" i="43"/>
  <c r="AC19" i="43"/>
  <c r="AD19" i="43"/>
  <c r="AE19" i="43"/>
  <c r="AF19" i="43"/>
  <c r="AG19" i="43"/>
  <c r="AH19" i="43"/>
  <c r="AI19" i="43"/>
  <c r="AJ19" i="43"/>
  <c r="AK19" i="43"/>
  <c r="AL19" i="43"/>
  <c r="AM19" i="43"/>
  <c r="AN19" i="43"/>
  <c r="AO19" i="43"/>
  <c r="AP19" i="43"/>
  <c r="AQ19" i="43"/>
  <c r="AR19" i="43"/>
  <c r="AS19" i="43"/>
  <c r="AC44" i="39" l="1"/>
  <c r="E19" i="43"/>
  <c r="F33" i="43"/>
  <c r="AD24" i="40" l="1"/>
  <c r="AA24" i="40"/>
  <c r="AF24" i="40"/>
  <c r="AC24" i="40"/>
  <c r="AB24" i="40"/>
  <c r="H10" i="45"/>
  <c r="S10" i="45" s="1"/>
  <c r="S13" i="45" s="1"/>
  <c r="Z24" i="40"/>
  <c r="R24" i="40"/>
  <c r="Y24" i="40"/>
  <c r="X24" i="40"/>
  <c r="V24" i="40"/>
  <c r="U24" i="40"/>
  <c r="S24" i="40"/>
  <c r="T24" i="40"/>
  <c r="Q24" i="40"/>
  <c r="P24" i="40"/>
  <c r="O24" i="40"/>
  <c r="K24" i="40"/>
  <c r="N24" i="40"/>
  <c r="M24" i="40"/>
  <c r="L24" i="40"/>
  <c r="J24" i="40"/>
  <c r="AE24" i="40"/>
  <c r="W24" i="40"/>
  <c r="I24" i="40"/>
  <c r="H24" i="40"/>
  <c r="V10" i="45" l="1"/>
  <c r="V13" i="45" s="1"/>
  <c r="AB10" i="45"/>
  <c r="AB13" i="45" s="1"/>
  <c r="AB36" i="45" s="1"/>
  <c r="X10" i="45"/>
  <c r="X13" i="45" s="1"/>
  <c r="X36" i="45" s="1"/>
  <c r="AC10" i="45"/>
  <c r="AC13" i="45" s="1"/>
  <c r="AC36" i="45" s="1"/>
  <c r="H13" i="45"/>
  <c r="F67" i="42" s="1"/>
  <c r="G67" i="42" s="1"/>
  <c r="N10" i="45"/>
  <c r="N13" i="45" s="1"/>
  <c r="K12" i="42" s="1"/>
  <c r="P10" i="45"/>
  <c r="P13" i="45" s="1"/>
  <c r="P36" i="45" s="1"/>
  <c r="R10" i="45"/>
  <c r="R13" i="45" s="1"/>
  <c r="O12" i="42" s="1"/>
  <c r="H19" i="45"/>
  <c r="U10" i="45"/>
  <c r="U13" i="45" s="1"/>
  <c r="AE10" i="45"/>
  <c r="AE13" i="45" s="1"/>
  <c r="Z10" i="45"/>
  <c r="Z13" i="45" s="1"/>
  <c r="L10" i="45"/>
  <c r="L13" i="45" s="1"/>
  <c r="J10" i="45"/>
  <c r="AH10" i="45"/>
  <c r="AH13" i="45" s="1"/>
  <c r="AF12" i="40"/>
  <c r="AK65" i="1"/>
  <c r="AD12" i="40"/>
  <c r="AI65" i="1"/>
  <c r="AC12" i="40"/>
  <c r="AH65" i="1"/>
  <c r="AB12" i="40"/>
  <c r="AG65" i="1"/>
  <c r="AA12" i="40"/>
  <c r="AF65" i="1"/>
  <c r="AG10" i="45"/>
  <c r="AG13" i="45" s="1"/>
  <c r="AF10" i="45"/>
  <c r="AF13" i="45" s="1"/>
  <c r="AD10" i="45"/>
  <c r="AD13" i="45" s="1"/>
  <c r="AA10" i="45"/>
  <c r="AA13" i="45" s="1"/>
  <c r="Y10" i="45"/>
  <c r="Y13" i="45" s="1"/>
  <c r="W10" i="45"/>
  <c r="W13" i="45" s="1"/>
  <c r="T10" i="45"/>
  <c r="T13" i="45" s="1"/>
  <c r="Q10" i="45"/>
  <c r="Q13" i="45" s="1"/>
  <c r="O10" i="45"/>
  <c r="O13" i="45" s="1"/>
  <c r="M10" i="45"/>
  <c r="M13" i="45" s="1"/>
  <c r="K10" i="45"/>
  <c r="K13" i="45" s="1"/>
  <c r="AE12" i="40"/>
  <c r="AJ65" i="1"/>
  <c r="Z12" i="40"/>
  <c r="AE65" i="1"/>
  <c r="Y12" i="40"/>
  <c r="AD65" i="1"/>
  <c r="X12" i="40"/>
  <c r="AC65" i="1"/>
  <c r="V12" i="40"/>
  <c r="AA65" i="1"/>
  <c r="U12" i="40"/>
  <c r="Z65" i="1"/>
  <c r="T12" i="40"/>
  <c r="Y65" i="1"/>
  <c r="S12" i="40"/>
  <c r="X65" i="1"/>
  <c r="R12" i="40"/>
  <c r="W65" i="1"/>
  <c r="Q12" i="40"/>
  <c r="V65" i="1"/>
  <c r="P12" i="40"/>
  <c r="O12" i="40"/>
  <c r="T65" i="1"/>
  <c r="N12" i="40"/>
  <c r="M12" i="40"/>
  <c r="R65" i="1"/>
  <c r="Q65" i="1"/>
  <c r="K12" i="40"/>
  <c r="J12" i="40"/>
  <c r="U65" i="1"/>
  <c r="S65" i="1"/>
  <c r="L12" i="40"/>
  <c r="P65" i="1"/>
  <c r="O65" i="1"/>
  <c r="N65" i="1"/>
  <c r="W12" i="40"/>
  <c r="AB65" i="1"/>
  <c r="I12" i="40"/>
  <c r="H12" i="40"/>
  <c r="M65" i="1"/>
  <c r="P12" i="42"/>
  <c r="S36" i="45"/>
  <c r="V36" i="45" l="1"/>
  <c r="S12" i="42"/>
  <c r="N36" i="45"/>
  <c r="U12" i="42"/>
  <c r="Y12" i="42"/>
  <c r="Z12" i="42"/>
  <c r="M12" i="42"/>
  <c r="R36" i="45"/>
  <c r="F69" i="42"/>
  <c r="F76" i="42" s="1"/>
  <c r="Q19" i="45"/>
  <c r="Q22" i="45" s="1"/>
  <c r="Q32" i="45" s="1"/>
  <c r="AB19" i="45"/>
  <c r="AB22" i="45" s="1"/>
  <c r="AB32" i="45" s="1"/>
  <c r="U19" i="45"/>
  <c r="U22" i="45" s="1"/>
  <c r="U32" i="45" s="1"/>
  <c r="P19" i="45"/>
  <c r="P22" i="45" s="1"/>
  <c r="P32" i="45" s="1"/>
  <c r="N19" i="45"/>
  <c r="N22" i="45" s="1"/>
  <c r="N32" i="45" s="1"/>
  <c r="L19" i="45"/>
  <c r="L22" i="45" s="1"/>
  <c r="L32" i="45" s="1"/>
  <c r="K19" i="45"/>
  <c r="K22" i="45" s="1"/>
  <c r="K32" i="45" s="1"/>
  <c r="H22" i="45"/>
  <c r="AA19" i="45"/>
  <c r="AA22" i="45" s="1"/>
  <c r="AA32" i="45" s="1"/>
  <c r="T19" i="45"/>
  <c r="T22" i="45" s="1"/>
  <c r="T32" i="45" s="1"/>
  <c r="M19" i="45"/>
  <c r="M22" i="45" s="1"/>
  <c r="M32" i="45" s="1"/>
  <c r="AF19" i="45"/>
  <c r="AF22" i="45" s="1"/>
  <c r="AF32" i="45" s="1"/>
  <c r="Z19" i="45"/>
  <c r="Z22" i="45" s="1"/>
  <c r="Z32" i="45" s="1"/>
  <c r="S19" i="45"/>
  <c r="S22" i="45" s="1"/>
  <c r="S32" i="45" s="1"/>
  <c r="AE36" i="45"/>
  <c r="R12" i="42"/>
  <c r="AG19" i="45"/>
  <c r="AG22" i="45" s="1"/>
  <c r="AG32" i="45" s="1"/>
  <c r="AE19" i="45"/>
  <c r="AE22" i="45" s="1"/>
  <c r="AE32" i="45" s="1"/>
  <c r="AC19" i="45"/>
  <c r="AC22" i="45" s="1"/>
  <c r="AC32" i="45" s="1"/>
  <c r="Y19" i="45"/>
  <c r="Y22" i="45" s="1"/>
  <c r="Y32" i="45" s="1"/>
  <c r="W19" i="45"/>
  <c r="W22" i="45" s="1"/>
  <c r="W32" i="45" s="1"/>
  <c r="V19" i="45"/>
  <c r="V22" i="45" s="1"/>
  <c r="V32" i="45" s="1"/>
  <c r="O19" i="45"/>
  <c r="O22" i="45" s="1"/>
  <c r="O32" i="45" s="1"/>
  <c r="J19" i="45"/>
  <c r="AH19" i="45"/>
  <c r="AH22" i="45" s="1"/>
  <c r="AH32" i="45" s="1"/>
  <c r="AD19" i="45"/>
  <c r="AD22" i="45" s="1"/>
  <c r="AD32" i="45" s="1"/>
  <c r="X19" i="45"/>
  <c r="X22" i="45" s="1"/>
  <c r="X32" i="45" s="1"/>
  <c r="R19" i="45"/>
  <c r="R22" i="45" s="1"/>
  <c r="R32" i="45" s="1"/>
  <c r="U36" i="45"/>
  <c r="AB12" i="42"/>
  <c r="W12" i="42"/>
  <c r="Z36" i="45"/>
  <c r="AH36" i="45"/>
  <c r="I12" i="42"/>
  <c r="AE12" i="42"/>
  <c r="L36" i="45"/>
  <c r="J13" i="45"/>
  <c r="I10" i="45"/>
  <c r="AD12" i="42"/>
  <c r="AG36" i="45"/>
  <c r="AC12" i="42"/>
  <c r="AF36" i="45"/>
  <c r="AA12" i="42"/>
  <c r="AD36" i="45"/>
  <c r="X12" i="42"/>
  <c r="AA36" i="45"/>
  <c r="V12" i="42"/>
  <c r="Y36" i="45"/>
  <c r="W36" i="45"/>
  <c r="T12" i="42"/>
  <c r="T36" i="45"/>
  <c r="Q12" i="42"/>
  <c r="N12" i="42"/>
  <c r="Q36" i="45"/>
  <c r="O36" i="45"/>
  <c r="L12" i="42"/>
  <c r="M36" i="45"/>
  <c r="J12" i="42"/>
  <c r="H12" i="42"/>
  <c r="K36" i="45"/>
  <c r="K65" i="1"/>
  <c r="Z51" i="49" s="1"/>
  <c r="H67" i="42"/>
  <c r="J22" i="45" l="1"/>
  <c r="I19" i="45"/>
  <c r="I22" i="45" s="1"/>
  <c r="I16" i="45"/>
  <c r="I13" i="45"/>
  <c r="J16" i="45"/>
  <c r="K16" i="45" s="1"/>
  <c r="L16" i="45" s="1"/>
  <c r="M16" i="45" s="1"/>
  <c r="N16" i="45" s="1"/>
  <c r="O16" i="45" s="1"/>
  <c r="P16" i="45" s="1"/>
  <c r="Q16" i="45" s="1"/>
  <c r="R16" i="45" s="1"/>
  <c r="S16" i="45" s="1"/>
  <c r="T16" i="45" s="1"/>
  <c r="U16" i="45" s="1"/>
  <c r="V16" i="45" s="1"/>
  <c r="W16" i="45" s="1"/>
  <c r="X16" i="45" s="1"/>
  <c r="Y16" i="45" s="1"/>
  <c r="Z16" i="45" s="1"/>
  <c r="AA16" i="45" s="1"/>
  <c r="AB16" i="45" s="1"/>
  <c r="AC16" i="45" s="1"/>
  <c r="AD16" i="45" s="1"/>
  <c r="AE16" i="45" s="1"/>
  <c r="AF16" i="45" s="1"/>
  <c r="AG16" i="45" s="1"/>
  <c r="AH16" i="45" s="1"/>
  <c r="J36" i="45"/>
  <c r="J15" i="45"/>
  <c r="G12" i="42"/>
  <c r="AA51" i="49"/>
  <c r="I67" i="42"/>
  <c r="J32" i="45" l="1"/>
  <c r="J24" i="45"/>
  <c r="K24" i="45" s="1"/>
  <c r="L24" i="45" s="1"/>
  <c r="M24" i="45" s="1"/>
  <c r="N24" i="45" s="1"/>
  <c r="O24" i="45" s="1"/>
  <c r="P24" i="45" s="1"/>
  <c r="Q24" i="45" s="1"/>
  <c r="R24" i="45" s="1"/>
  <c r="S24" i="45" s="1"/>
  <c r="T24" i="45" s="1"/>
  <c r="U24" i="45" s="1"/>
  <c r="V24" i="45" s="1"/>
  <c r="W24" i="45" s="1"/>
  <c r="X24" i="45" s="1"/>
  <c r="Y24" i="45" s="1"/>
  <c r="Z24" i="45" s="1"/>
  <c r="AA24" i="45" s="1"/>
  <c r="AB24" i="45" s="1"/>
  <c r="AC24" i="45" s="1"/>
  <c r="AD24" i="45" s="1"/>
  <c r="AE24" i="45" s="1"/>
  <c r="AF24" i="45" s="1"/>
  <c r="AG24" i="45" s="1"/>
  <c r="AH24" i="45" s="1"/>
  <c r="G68" i="42"/>
  <c r="G69" i="42" s="1"/>
  <c r="K15" i="45"/>
  <c r="J67" i="42"/>
  <c r="L15" i="45" l="1"/>
  <c r="H68" i="42"/>
  <c r="H69" i="42" s="1"/>
  <c r="K67" i="42"/>
  <c r="M15" i="45" l="1"/>
  <c r="I68" i="42"/>
  <c r="I69" i="42" s="1"/>
  <c r="L67" i="42"/>
  <c r="N15" i="45" l="1"/>
  <c r="J68" i="42"/>
  <c r="J69" i="42" s="1"/>
  <c r="M67" i="42"/>
  <c r="K68" i="42" l="1"/>
  <c r="K69" i="42" s="1"/>
  <c r="O15" i="45"/>
  <c r="N67" i="42"/>
  <c r="P15" i="45" l="1"/>
  <c r="L68" i="42"/>
  <c r="L69" i="42" s="1"/>
  <c r="O67" i="42"/>
  <c r="M68" i="42" l="1"/>
  <c r="M69" i="42" s="1"/>
  <c r="Q15" i="45"/>
  <c r="R15" i="45" s="1"/>
  <c r="P67" i="42"/>
  <c r="N68" i="42" l="1"/>
  <c r="N69" i="42" s="1"/>
  <c r="Q67" i="42"/>
  <c r="O68" i="42"/>
  <c r="O69" i="42" s="1"/>
  <c r="S15" i="45"/>
  <c r="R67" i="42" l="1"/>
  <c r="P68" i="42"/>
  <c r="P69" i="42" s="1"/>
  <c r="T15" i="45"/>
  <c r="S67" i="42" l="1"/>
  <c r="U15" i="45"/>
  <c r="Q68" i="42"/>
  <c r="Q69" i="42" s="1"/>
  <c r="T67" i="42" l="1"/>
  <c r="R68" i="42"/>
  <c r="R69" i="42" s="1"/>
  <c r="V15" i="45"/>
  <c r="U67" i="42" l="1"/>
  <c r="S68" i="42"/>
  <c r="S69" i="42" s="1"/>
  <c r="W15" i="45"/>
  <c r="V67" i="42" l="1"/>
  <c r="X15" i="45"/>
  <c r="T68" i="42"/>
  <c r="T69" i="42" s="1"/>
  <c r="W67" i="42" l="1"/>
  <c r="U68" i="42"/>
  <c r="U69" i="42" s="1"/>
  <c r="Y15" i="45"/>
  <c r="X67" i="42" l="1"/>
  <c r="V68" i="42"/>
  <c r="V69" i="42" s="1"/>
  <c r="Z15" i="45"/>
  <c r="Y67" i="42" l="1"/>
  <c r="W68" i="42"/>
  <c r="W69" i="42" s="1"/>
  <c r="AA15" i="45"/>
  <c r="Z67" i="42" l="1"/>
  <c r="AB15" i="45"/>
  <c r="X68" i="42"/>
  <c r="X69" i="42" s="1"/>
  <c r="AA67" i="42" l="1"/>
  <c r="Y68" i="42"/>
  <c r="Y69" i="42" s="1"/>
  <c r="AC15" i="45"/>
  <c r="AB67" i="42" l="1"/>
  <c r="AD15" i="45"/>
  <c r="Z68" i="42"/>
  <c r="Z69" i="42" s="1"/>
  <c r="AC67" i="42" l="1"/>
  <c r="AA68" i="42"/>
  <c r="AA69" i="42" s="1"/>
  <c r="AE15" i="45"/>
  <c r="AD67" i="42" l="1"/>
  <c r="AB68" i="42"/>
  <c r="AB69" i="42" s="1"/>
  <c r="AF15" i="45"/>
  <c r="AE67" i="42" l="1"/>
  <c r="AG15" i="45"/>
  <c r="AC68" i="42"/>
  <c r="AC69" i="42" s="1"/>
  <c r="AD68" i="42" l="1"/>
  <c r="AD69" i="42" s="1"/>
  <c r="AH15" i="45"/>
  <c r="AE68" i="42" s="1"/>
  <c r="AE69" i="42" s="1"/>
  <c r="AA46" i="40" l="1"/>
  <c r="AD26" i="17" l="1" a="1"/>
  <c r="AH62" i="1" a="1"/>
  <c r="AN26" i="17" a="1"/>
  <c r="AR62" i="1" a="1"/>
  <c r="AG26" i="17" a="1"/>
  <c r="AK62" i="1" a="1"/>
  <c r="AC26" i="17" a="1"/>
  <c r="AG62" i="1" a="1"/>
  <c r="AM26" i="17" a="1"/>
  <c r="AQ62" i="1" a="1"/>
  <c r="AH26" i="17" a="1"/>
  <c r="AL62" i="1" a="1"/>
  <c r="AL26" i="17" a="1"/>
  <c r="AP62" i="1" a="1"/>
  <c r="AF26" i="17" a="1"/>
  <c r="AJ62" i="1" a="1"/>
  <c r="AI26" i="17" a="1"/>
  <c r="AM62" i="1" a="1"/>
  <c r="AK26" i="17" a="1"/>
  <c r="AO62" i="1" a="1"/>
  <c r="AE26" i="17" a="1"/>
  <c r="AI62" i="1" a="1"/>
  <c r="AJ26" i="17" a="1"/>
  <c r="AN62" i="1" a="1"/>
  <c r="AO26" i="17" l="1" a="1"/>
  <c r="AO290" i="17" l="1"/>
  <c r="AN290" i="17"/>
  <c r="AM290" i="17"/>
  <c r="AL290" i="17"/>
  <c r="AK290" i="17"/>
  <c r="AJ290" i="17"/>
  <c r="AI290" i="17"/>
  <c r="AH290" i="17"/>
  <c r="AG290" i="17"/>
  <c r="AF290" i="17"/>
  <c r="AE290" i="17"/>
  <c r="AD290" i="17"/>
  <c r="AC290" i="17"/>
  <c r="AO210" i="17"/>
  <c r="AN210" i="17"/>
  <c r="AM210" i="17"/>
  <c r="AL210" i="17"/>
  <c r="AK210" i="17"/>
  <c r="AJ210" i="17"/>
  <c r="AI210" i="17"/>
  <c r="AH210" i="17"/>
  <c r="AG210" i="17"/>
  <c r="AF210" i="17"/>
  <c r="AE210" i="17"/>
  <c r="AD210" i="17"/>
  <c r="AC210" i="17"/>
  <c r="AO130" i="17"/>
  <c r="AN130" i="17"/>
  <c r="AM130" i="17"/>
  <c r="AL130" i="17"/>
  <c r="AK130" i="17"/>
  <c r="AJ130" i="17"/>
  <c r="AI130" i="17"/>
  <c r="AH130" i="17"/>
  <c r="AG130" i="17"/>
  <c r="AF130" i="17"/>
  <c r="AE130" i="17"/>
  <c r="AD130" i="17"/>
  <c r="AC130" i="17"/>
  <c r="AO90" i="17"/>
  <c r="AN90" i="17"/>
  <c r="AM90" i="17"/>
  <c r="AL90" i="17"/>
  <c r="AK90" i="17"/>
  <c r="AJ90" i="17"/>
  <c r="AI90" i="17"/>
  <c r="AH90" i="17"/>
  <c r="AG90" i="17"/>
  <c r="AF90" i="17"/>
  <c r="AE90" i="17"/>
  <c r="AD90" i="17"/>
  <c r="AC90" i="17"/>
  <c r="AO50" i="17"/>
  <c r="AN50" i="17"/>
  <c r="AM50" i="17"/>
  <c r="AL50" i="17"/>
  <c r="AK50" i="17"/>
  <c r="AJ50" i="17"/>
  <c r="AI50" i="17"/>
  <c r="AH50" i="17"/>
  <c r="AG50" i="17"/>
  <c r="AF50" i="17"/>
  <c r="AE50" i="17"/>
  <c r="AD50" i="17"/>
  <c r="AC50" i="17"/>
  <c r="AO26" i="17"/>
  <c r="AN26" i="17"/>
  <c r="AM26" i="17"/>
  <c r="AL26" i="17"/>
  <c r="AK26" i="17"/>
  <c r="AJ26" i="17"/>
  <c r="AI26" i="17"/>
  <c r="AH26" i="17"/>
  <c r="AG26" i="17"/>
  <c r="AF26" i="17"/>
  <c r="AE26" i="17"/>
  <c r="AD26" i="17"/>
  <c r="AC26" i="17"/>
  <c r="AB26" i="17"/>
  <c r="AA26" i="17"/>
  <c r="Z26" i="17"/>
  <c r="Y26" i="17"/>
  <c r="X26" i="17"/>
  <c r="W26" i="17"/>
  <c r="V26" i="17"/>
  <c r="U26" i="17"/>
  <c r="T26" i="17"/>
  <c r="S26" i="17"/>
  <c r="R26" i="17"/>
  <c r="Q26" i="17"/>
  <c r="P26" i="17"/>
  <c r="O26" i="17"/>
  <c r="N26" i="17"/>
  <c r="M26" i="17"/>
  <c r="L26" i="17"/>
  <c r="K26" i="17"/>
  <c r="J26" i="17"/>
  <c r="I26" i="17"/>
  <c r="AO25" i="17"/>
  <c r="AN25" i="17"/>
  <c r="AM25" i="17"/>
  <c r="AL25" i="17"/>
  <c r="AK25" i="17"/>
  <c r="AJ25" i="17"/>
  <c r="AI25" i="17"/>
  <c r="AH25" i="17"/>
  <c r="AG25" i="17"/>
  <c r="AF25" i="17"/>
  <c r="AE25" i="17"/>
  <c r="AD25" i="17"/>
  <c r="AC25" i="17"/>
  <c r="AB25" i="17"/>
  <c r="AA25" i="17"/>
  <c r="Z25" i="17"/>
  <c r="Y25" i="17"/>
  <c r="X25" i="17"/>
  <c r="W25" i="17"/>
  <c r="V25" i="17"/>
  <c r="U25" i="17"/>
  <c r="T25" i="17"/>
  <c r="S25" i="17"/>
  <c r="R25" i="17"/>
  <c r="Q25" i="17"/>
  <c r="P25" i="17"/>
  <c r="O25" i="17"/>
  <c r="N25" i="17"/>
  <c r="M25" i="17"/>
  <c r="L25" i="17"/>
  <c r="K25" i="17"/>
  <c r="J25" i="17"/>
  <c r="I25" i="17"/>
  <c r="AO24" i="17"/>
  <c r="AN24" i="17"/>
  <c r="AM24" i="17"/>
  <c r="AL24" i="17"/>
  <c r="AK24" i="17"/>
  <c r="AJ24" i="17"/>
  <c r="AI24" i="17"/>
  <c r="AH24" i="17"/>
  <c r="AG24" i="17"/>
  <c r="AF24" i="17"/>
  <c r="AE24" i="17"/>
  <c r="AD24" i="17"/>
  <c r="AC24" i="17"/>
  <c r="AB24" i="17"/>
  <c r="AA24" i="17"/>
  <c r="Z24" i="17"/>
  <c r="Y24" i="17"/>
  <c r="X24" i="17"/>
  <c r="W24" i="17"/>
  <c r="V24" i="17"/>
  <c r="U24" i="17"/>
  <c r="T24" i="17"/>
  <c r="S24" i="17"/>
  <c r="R24" i="17"/>
  <c r="Q24" i="17"/>
  <c r="P24" i="17"/>
  <c r="O24" i="17"/>
  <c r="N24" i="17"/>
  <c r="M24" i="17"/>
  <c r="L24" i="17"/>
  <c r="K24" i="17"/>
  <c r="J24" i="17"/>
  <c r="I24" i="17"/>
  <c r="AO23" i="17"/>
  <c r="AN23" i="17"/>
  <c r="AM23" i="17"/>
  <c r="AL23" i="17"/>
  <c r="AK23" i="17"/>
  <c r="AJ23" i="17"/>
  <c r="AI23" i="17"/>
  <c r="AH23" i="17"/>
  <c r="AG23" i="17"/>
  <c r="AF23" i="17"/>
  <c r="AE23" i="17"/>
  <c r="AD23" i="17"/>
  <c r="AC23" i="17"/>
  <c r="AB23" i="17"/>
  <c r="AA23" i="17"/>
  <c r="Z23" i="17"/>
  <c r="Y23" i="17"/>
  <c r="X23" i="17"/>
  <c r="W23" i="17"/>
  <c r="V23" i="17"/>
  <c r="U23" i="17"/>
  <c r="T23" i="17"/>
  <c r="S23" i="17"/>
  <c r="R23" i="17"/>
  <c r="Q23" i="17"/>
  <c r="P23" i="17"/>
  <c r="O23" i="17"/>
  <c r="N23" i="17"/>
  <c r="M23" i="17"/>
  <c r="L23" i="17"/>
  <c r="K23" i="17"/>
  <c r="J23" i="17"/>
  <c r="I23" i="17"/>
  <c r="AO22" i="17"/>
  <c r="AN22" i="17"/>
  <c r="AM22" i="17"/>
  <c r="AL22" i="17"/>
  <c r="AK22" i="17"/>
  <c r="AJ22" i="17"/>
  <c r="AI22" i="17"/>
  <c r="AH22" i="17"/>
  <c r="AG22" i="17"/>
  <c r="AF22" i="17"/>
  <c r="AE22" i="17"/>
  <c r="AD22" i="17"/>
  <c r="AC22" i="17"/>
  <c r="AB22" i="17"/>
  <c r="AA22" i="17"/>
  <c r="Z22" i="17"/>
  <c r="Y22" i="17"/>
  <c r="X22" i="17"/>
  <c r="W22" i="17"/>
  <c r="V22" i="17"/>
  <c r="U22" i="17"/>
  <c r="T22" i="17"/>
  <c r="S22" i="17"/>
  <c r="R22" i="17"/>
  <c r="Q22" i="17"/>
  <c r="P22" i="17"/>
  <c r="O22" i="17"/>
  <c r="N22" i="17"/>
  <c r="M22" i="17"/>
  <c r="L22" i="17"/>
  <c r="K22" i="17"/>
  <c r="J22" i="17"/>
  <c r="I22" i="17"/>
  <c r="AO21" i="17"/>
  <c r="AN21" i="17"/>
  <c r="AM21" i="17"/>
  <c r="AL21" i="17"/>
  <c r="AK21" i="17"/>
  <c r="AJ21" i="17"/>
  <c r="AI21" i="17"/>
  <c r="AH21" i="17"/>
  <c r="AG21" i="17"/>
  <c r="AF21" i="17"/>
  <c r="AE21" i="17"/>
  <c r="AD21" i="17"/>
  <c r="AC21" i="17"/>
  <c r="AB21" i="17"/>
  <c r="AA21" i="17"/>
  <c r="Z21" i="17"/>
  <c r="Y21" i="17"/>
  <c r="X21" i="17"/>
  <c r="W21" i="17"/>
  <c r="V21" i="17"/>
  <c r="U21" i="17"/>
  <c r="T21" i="17"/>
  <c r="S21" i="17"/>
  <c r="R21" i="17"/>
  <c r="Q21" i="17"/>
  <c r="P21" i="17"/>
  <c r="O21" i="17"/>
  <c r="N21" i="17"/>
  <c r="M21" i="17"/>
  <c r="L21" i="17"/>
  <c r="K21" i="17"/>
  <c r="J21" i="17"/>
  <c r="I21" i="17"/>
  <c r="AO20" i="17"/>
  <c r="AN20" i="17"/>
  <c r="AM20" i="17"/>
  <c r="AL20" i="17"/>
  <c r="AK20" i="17"/>
  <c r="AJ20" i="17"/>
  <c r="AI20" i="17"/>
  <c r="AH20" i="17"/>
  <c r="AG20" i="17"/>
  <c r="AF20" i="17"/>
  <c r="AE20" i="17"/>
  <c r="AD20" i="17"/>
  <c r="AC20" i="17"/>
  <c r="AB20" i="17"/>
  <c r="AA20" i="17"/>
  <c r="Z20" i="17"/>
  <c r="Y20" i="17"/>
  <c r="X20" i="17"/>
  <c r="W20" i="17"/>
  <c r="V20" i="17"/>
  <c r="U20" i="17"/>
  <c r="T20" i="17"/>
  <c r="S20" i="17"/>
  <c r="R20" i="17"/>
  <c r="Q20" i="17"/>
  <c r="P20" i="17"/>
  <c r="O20" i="17"/>
  <c r="N20" i="17"/>
  <c r="M20" i="17"/>
  <c r="L20" i="17"/>
  <c r="K20" i="17"/>
  <c r="J20" i="17"/>
  <c r="I20" i="17"/>
  <c r="AA19" i="17"/>
  <c r="Z19" i="17"/>
  <c r="Y19" i="17"/>
  <c r="X19" i="17"/>
  <c r="W19" i="17"/>
  <c r="V19" i="17"/>
  <c r="U19" i="17"/>
  <c r="T19" i="17"/>
  <c r="S19" i="17"/>
  <c r="R19" i="17"/>
  <c r="Q19" i="17"/>
  <c r="P19" i="17"/>
  <c r="O19" i="17"/>
  <c r="N19" i="17"/>
  <c r="M19" i="17"/>
  <c r="L19" i="17"/>
  <c r="K19" i="17"/>
  <c r="J19" i="17"/>
  <c r="I19" i="17"/>
  <c r="AO18" i="17"/>
  <c r="AN18" i="17"/>
  <c r="AM18" i="17"/>
  <c r="AL18" i="17"/>
  <c r="AK18" i="17"/>
  <c r="AJ18" i="17"/>
  <c r="AI18" i="17"/>
  <c r="AH18" i="17"/>
  <c r="AG18" i="17"/>
  <c r="AF18" i="17"/>
  <c r="AE18" i="17"/>
  <c r="AD18" i="17"/>
  <c r="AC18" i="17"/>
  <c r="AB18" i="17"/>
  <c r="AA18" i="17"/>
  <c r="Z18" i="17"/>
  <c r="Y18" i="17"/>
  <c r="X18" i="17"/>
  <c r="W18" i="17"/>
  <c r="V18" i="17"/>
  <c r="U18" i="17"/>
  <c r="T18" i="17"/>
  <c r="S18" i="17"/>
  <c r="R18" i="17"/>
  <c r="Q18" i="17"/>
  <c r="P18" i="17"/>
  <c r="O18" i="17"/>
  <c r="N18" i="17"/>
  <c r="M18" i="17"/>
  <c r="L18" i="17"/>
  <c r="K18" i="17"/>
  <c r="J18" i="17"/>
  <c r="I18" i="17"/>
  <c r="AO17" i="17"/>
  <c r="AN17" i="17"/>
  <c r="AM17" i="17"/>
  <c r="AL17" i="17"/>
  <c r="AK17" i="17"/>
  <c r="AJ17" i="17"/>
  <c r="AI17" i="17"/>
  <c r="AH17" i="17"/>
  <c r="AG17" i="17"/>
  <c r="AF17" i="17"/>
  <c r="AE17" i="17"/>
  <c r="AD17" i="17"/>
  <c r="AC17" i="17"/>
  <c r="AB17" i="17"/>
  <c r="AA17" i="17"/>
  <c r="Z17" i="17"/>
  <c r="Y17" i="17"/>
  <c r="X17" i="17"/>
  <c r="W17" i="17"/>
  <c r="V17" i="17"/>
  <c r="U17" i="17"/>
  <c r="T17" i="17"/>
  <c r="S17" i="17"/>
  <c r="R17" i="17"/>
  <c r="Q17" i="17"/>
  <c r="P17" i="17"/>
  <c r="O17" i="17"/>
  <c r="N17" i="17"/>
  <c r="M17" i="17"/>
  <c r="L17" i="17"/>
  <c r="K17" i="17"/>
  <c r="J17" i="17"/>
  <c r="I17" i="17"/>
  <c r="AO16" i="17"/>
  <c r="AN16" i="17"/>
  <c r="AM16" i="17"/>
  <c r="AL16" i="17"/>
  <c r="AK16" i="17"/>
  <c r="AJ16" i="17"/>
  <c r="AI16" i="17"/>
  <c r="AH16" i="17"/>
  <c r="AG16" i="17"/>
  <c r="AF16" i="17"/>
  <c r="AE16" i="17"/>
  <c r="AD16" i="17"/>
  <c r="AC16" i="17"/>
  <c r="AB16" i="17"/>
  <c r="AA16" i="17"/>
  <c r="Z16" i="17"/>
  <c r="Y16" i="17"/>
  <c r="X16" i="17"/>
  <c r="W16" i="17"/>
  <c r="V16" i="17"/>
  <c r="U16" i="17"/>
  <c r="T16" i="17"/>
  <c r="S16" i="17"/>
  <c r="R16" i="17"/>
  <c r="Q16" i="17"/>
  <c r="P16" i="17"/>
  <c r="O16" i="17"/>
  <c r="N16" i="17"/>
  <c r="M16" i="17"/>
  <c r="L16" i="17"/>
  <c r="K16" i="17"/>
  <c r="J16" i="17"/>
  <c r="I16" i="17"/>
  <c r="AO15" i="17"/>
  <c r="AN15" i="17"/>
  <c r="AM15" i="17"/>
  <c r="AL15" i="17"/>
  <c r="AK15" i="17"/>
  <c r="AJ15" i="17"/>
  <c r="AI15" i="17"/>
  <c r="AH15" i="17"/>
  <c r="AG15" i="17"/>
  <c r="AF15" i="17"/>
  <c r="AE15" i="17"/>
  <c r="AD15" i="17"/>
  <c r="AC15" i="17"/>
  <c r="AB15" i="17"/>
  <c r="AA15" i="17"/>
  <c r="Z15" i="17"/>
  <c r="Y15" i="17"/>
  <c r="X15" i="17"/>
  <c r="W15" i="17"/>
  <c r="V15" i="17"/>
  <c r="U15" i="17"/>
  <c r="T15" i="17"/>
  <c r="S15" i="17"/>
  <c r="R15" i="17"/>
  <c r="Q15" i="17"/>
  <c r="P15" i="17"/>
  <c r="O15" i="17"/>
  <c r="N15" i="17"/>
  <c r="M15" i="17"/>
  <c r="L15" i="17"/>
  <c r="K15" i="17"/>
  <c r="J15" i="17"/>
  <c r="I15" i="17"/>
  <c r="AO14" i="17"/>
  <c r="AN14" i="17"/>
  <c r="AM14" i="17"/>
  <c r="AL14" i="17"/>
  <c r="AK14" i="17"/>
  <c r="AJ14" i="17"/>
  <c r="AI14" i="17"/>
  <c r="AH14" i="17"/>
  <c r="AG14" i="17"/>
  <c r="AF14" i="17"/>
  <c r="AE14" i="17"/>
  <c r="AD14" i="17"/>
  <c r="AC14" i="17"/>
  <c r="AB14" i="17"/>
  <c r="AA14" i="17"/>
  <c r="Z14" i="17"/>
  <c r="Y14" i="17"/>
  <c r="X14" i="17"/>
  <c r="W14" i="17"/>
  <c r="V14" i="17"/>
  <c r="U14" i="17"/>
  <c r="T14" i="17"/>
  <c r="S14" i="17"/>
  <c r="R14" i="17"/>
  <c r="Q14" i="17"/>
  <c r="P14" i="17"/>
  <c r="O14" i="17"/>
  <c r="N14" i="17"/>
  <c r="M14" i="17"/>
  <c r="L14" i="17"/>
  <c r="K14" i="17"/>
  <c r="J14" i="17"/>
  <c r="I14" i="17"/>
  <c r="AO13" i="17"/>
  <c r="AN13" i="17"/>
  <c r="AM13" i="17"/>
  <c r="AL13" i="17"/>
  <c r="AK13" i="17"/>
  <c r="AJ13" i="17"/>
  <c r="AI13" i="17"/>
  <c r="AH13" i="17"/>
  <c r="AG13" i="17"/>
  <c r="AF13" i="17"/>
  <c r="AE13" i="17"/>
  <c r="AD13" i="17"/>
  <c r="AC13" i="17"/>
  <c r="AB13" i="17"/>
  <c r="AA13" i="17"/>
  <c r="Z13" i="17"/>
  <c r="Y13" i="17"/>
  <c r="X13" i="17"/>
  <c r="W13" i="17"/>
  <c r="V13" i="17"/>
  <c r="U13" i="17"/>
  <c r="T13" i="17"/>
  <c r="S13" i="17"/>
  <c r="R13" i="17"/>
  <c r="Q13" i="17"/>
  <c r="P13" i="17"/>
  <c r="O13" i="17"/>
  <c r="N13" i="17"/>
  <c r="M13" i="17"/>
  <c r="L13" i="17"/>
  <c r="K13" i="17"/>
  <c r="J13" i="17"/>
  <c r="I13" i="17"/>
  <c r="AO12" i="17"/>
  <c r="AN12" i="17"/>
  <c r="AM12" i="17"/>
  <c r="AL12" i="17"/>
  <c r="AK12" i="17"/>
  <c r="AJ12" i="17"/>
  <c r="AI12" i="17"/>
  <c r="AH12" i="17"/>
  <c r="AG12" i="17"/>
  <c r="AF12" i="17"/>
  <c r="AE12" i="17"/>
  <c r="AD12" i="17"/>
  <c r="AC12" i="17"/>
  <c r="AB12" i="17"/>
  <c r="AA12" i="17"/>
  <c r="Z12" i="17"/>
  <c r="Y12" i="17"/>
  <c r="X12" i="17"/>
  <c r="W12" i="17"/>
  <c r="V12" i="17"/>
  <c r="U12" i="17"/>
  <c r="T12" i="17"/>
  <c r="S12" i="17"/>
  <c r="R12" i="17"/>
  <c r="Q12" i="17"/>
  <c r="P12" i="17"/>
  <c r="O12" i="17"/>
  <c r="N12" i="17"/>
  <c r="M12" i="17"/>
  <c r="L12" i="17"/>
  <c r="K12" i="17"/>
  <c r="J12" i="17"/>
  <c r="I12" i="17"/>
  <c r="AO11" i="17"/>
  <c r="AN11" i="17"/>
  <c r="AM11" i="17"/>
  <c r="AL11" i="17"/>
  <c r="AK11" i="17"/>
  <c r="AJ11" i="17"/>
  <c r="AI11" i="17"/>
  <c r="AH11" i="17"/>
  <c r="AG11" i="17"/>
  <c r="AF11" i="17"/>
  <c r="AE11" i="17"/>
  <c r="AD11" i="17"/>
  <c r="AC11" i="17"/>
  <c r="AB11" i="17"/>
  <c r="AA11" i="17"/>
  <c r="Z11" i="17"/>
  <c r="Y11" i="17"/>
  <c r="X11" i="17"/>
  <c r="W11" i="17"/>
  <c r="V11" i="17"/>
  <c r="U11" i="17"/>
  <c r="T11" i="17"/>
  <c r="S11" i="17"/>
  <c r="R11" i="17"/>
  <c r="Q11" i="17"/>
  <c r="P11" i="17"/>
  <c r="O11" i="17"/>
  <c r="N11" i="17"/>
  <c r="M11" i="17"/>
  <c r="L11" i="17"/>
  <c r="K11" i="17"/>
  <c r="J11" i="17"/>
  <c r="I11" i="17"/>
  <c r="AO10" i="17"/>
  <c r="AN10" i="17"/>
  <c r="AM10" i="17"/>
  <c r="AL10" i="17"/>
  <c r="AK10" i="17"/>
  <c r="AJ10" i="17"/>
  <c r="AI10" i="17"/>
  <c r="AH10" i="17"/>
  <c r="AG10" i="17"/>
  <c r="AF10" i="17"/>
  <c r="AE10" i="17"/>
  <c r="AD10" i="17"/>
  <c r="AC10" i="17"/>
  <c r="AB10" i="17"/>
  <c r="AA10" i="17"/>
  <c r="Z10" i="17"/>
  <c r="Y10" i="17"/>
  <c r="X10" i="17"/>
  <c r="W10" i="17"/>
  <c r="V10" i="17"/>
  <c r="U10" i="17"/>
  <c r="T10" i="17"/>
  <c r="S10" i="17"/>
  <c r="R10" i="17"/>
  <c r="Q10" i="17"/>
  <c r="P10" i="17"/>
  <c r="O10" i="17"/>
  <c r="N10" i="17"/>
  <c r="M10" i="17"/>
  <c r="L10" i="17"/>
  <c r="K10" i="17"/>
  <c r="J10" i="17"/>
  <c r="I10" i="17"/>
  <c r="AO9" i="17"/>
  <c r="AN9" i="17"/>
  <c r="AM9" i="17"/>
  <c r="AL9" i="17"/>
  <c r="AK9" i="17"/>
  <c r="AJ9" i="17"/>
  <c r="AI9" i="17"/>
  <c r="AH9" i="17"/>
  <c r="AG9" i="17"/>
  <c r="AF9" i="17"/>
  <c r="AE9" i="17"/>
  <c r="AD9" i="17"/>
  <c r="AC9" i="17"/>
  <c r="AB9" i="17"/>
  <c r="AA9" i="17"/>
  <c r="Z9" i="17"/>
  <c r="Y9" i="17"/>
  <c r="X9" i="17"/>
  <c r="W9" i="17"/>
  <c r="V9" i="17"/>
  <c r="U9" i="17"/>
  <c r="T9" i="17"/>
  <c r="S9" i="17"/>
  <c r="R9" i="17"/>
  <c r="Q9" i="17"/>
  <c r="P9" i="17"/>
  <c r="O9" i="17"/>
  <c r="N9" i="17"/>
  <c r="M9" i="17"/>
  <c r="L9" i="17"/>
  <c r="K9" i="17"/>
  <c r="J9" i="17"/>
  <c r="I9" i="17"/>
  <c r="AO8" i="17"/>
  <c r="AN8" i="17"/>
  <c r="AM8" i="17"/>
  <c r="AL8" i="17"/>
  <c r="AK8" i="17"/>
  <c r="AJ8" i="17"/>
  <c r="AI8" i="17"/>
  <c r="AH8" i="17"/>
  <c r="AG8" i="17"/>
  <c r="AF8" i="17"/>
  <c r="AE8" i="17"/>
  <c r="AD8" i="17"/>
  <c r="AC8" i="17"/>
  <c r="AB8" i="17"/>
  <c r="AA8" i="17"/>
  <c r="Z8" i="17"/>
  <c r="Y8" i="17"/>
  <c r="X8" i="17"/>
  <c r="W8" i="17"/>
  <c r="V8" i="17"/>
  <c r="U8" i="17"/>
  <c r="T8" i="17"/>
  <c r="S8" i="17"/>
  <c r="R8" i="17"/>
  <c r="Q8" i="17"/>
  <c r="P8" i="17"/>
  <c r="O8" i="17"/>
  <c r="N8" i="17"/>
  <c r="M8" i="17"/>
  <c r="L8" i="17"/>
  <c r="K8" i="17"/>
  <c r="J8" i="17"/>
  <c r="I8" i="17"/>
  <c r="AZ62" i="1"/>
  <c r="AY62" i="1"/>
  <c r="AX62" i="1"/>
  <c r="AW62" i="1"/>
  <c r="AV62" i="1"/>
  <c r="AU62" i="1"/>
  <c r="AT62" i="1"/>
  <c r="AR62" i="1"/>
  <c r="AQ62" i="1"/>
  <c r="AP62" i="1"/>
  <c r="AO62" i="1"/>
  <c r="AN62" i="1"/>
  <c r="AM62" i="1"/>
  <c r="AL62" i="1"/>
  <c r="AK62" i="1"/>
  <c r="AE27" i="41" s="1"/>
  <c r="AJ62" i="1"/>
  <c r="AD27" i="41" s="1"/>
  <c r="AI62" i="1"/>
  <c r="AH62" i="1"/>
  <c r="AG62" i="1"/>
  <c r="AF62" i="1"/>
  <c r="AE62" i="1"/>
  <c r="Y27" i="41" s="1"/>
  <c r="AD62" i="1"/>
  <c r="AC62" i="1"/>
  <c r="AB62" i="1"/>
  <c r="AA62" i="1"/>
  <c r="U27" i="41" s="1"/>
  <c r="Z62" i="1"/>
  <c r="Y62" i="1"/>
  <c r="X62" i="1"/>
  <c r="W62" i="1"/>
  <c r="Q27" i="41" s="1"/>
  <c r="V62" i="1"/>
  <c r="U62" i="1"/>
  <c r="T62" i="1"/>
  <c r="S62" i="1"/>
  <c r="R62" i="1"/>
  <c r="Q62" i="1"/>
  <c r="P62" i="1"/>
  <c r="O62" i="1"/>
  <c r="N62" i="1"/>
  <c r="M62" i="1"/>
  <c r="AZ61" i="1"/>
  <c r="AY61" i="1"/>
  <c r="AX61" i="1"/>
  <c r="AW61" i="1"/>
  <c r="AV61" i="1"/>
  <c r="AU61" i="1"/>
  <c r="AT61" i="1"/>
  <c r="AS61" i="1"/>
  <c r="AR61" i="1"/>
  <c r="AQ61" i="1"/>
  <c r="AP61" i="1"/>
  <c r="AO61" i="1"/>
  <c r="AN61" i="1"/>
  <c r="AM61" i="1"/>
  <c r="AL61" i="1"/>
  <c r="AK61" i="1"/>
  <c r="AJ61" i="1"/>
  <c r="AI61" i="1"/>
  <c r="AH61" i="1"/>
  <c r="AG61" i="1"/>
  <c r="AF61" i="1"/>
  <c r="AE61" i="1"/>
  <c r="AD61" i="1"/>
  <c r="AC61" i="1"/>
  <c r="AB61" i="1"/>
  <c r="AA61" i="1"/>
  <c r="Z61" i="1"/>
  <c r="Y61" i="1"/>
  <c r="X61" i="1"/>
  <c r="W61" i="1"/>
  <c r="V61" i="1"/>
  <c r="U61" i="1"/>
  <c r="T61" i="1"/>
  <c r="S61" i="1"/>
  <c r="R61" i="1"/>
  <c r="Q61" i="1"/>
  <c r="P61" i="1"/>
  <c r="O61" i="1"/>
  <c r="N61" i="1"/>
  <c r="M61" i="1"/>
  <c r="AZ60" i="1"/>
  <c r="AY60" i="1"/>
  <c r="AX60" i="1"/>
  <c r="AW60" i="1"/>
  <c r="AV60" i="1"/>
  <c r="AU60" i="1"/>
  <c r="AT60" i="1"/>
  <c r="AS60" i="1"/>
  <c r="AR60" i="1"/>
  <c r="AQ60" i="1"/>
  <c r="AP60" i="1"/>
  <c r="AO60" i="1"/>
  <c r="AN60" i="1"/>
  <c r="AM60" i="1"/>
  <c r="AL60" i="1"/>
  <c r="AK60" i="1"/>
  <c r="AJ60" i="1"/>
  <c r="AI60" i="1"/>
  <c r="AH60" i="1"/>
  <c r="AG60" i="1"/>
  <c r="AF60" i="1"/>
  <c r="AE60" i="1"/>
  <c r="AD60" i="1"/>
  <c r="AC60" i="1"/>
  <c r="AB60" i="1"/>
  <c r="AA60" i="1"/>
  <c r="Z60" i="1"/>
  <c r="Y60" i="1"/>
  <c r="X60" i="1"/>
  <c r="W60" i="1"/>
  <c r="V60" i="1"/>
  <c r="U60" i="1"/>
  <c r="T60" i="1"/>
  <c r="S60" i="1"/>
  <c r="R60" i="1"/>
  <c r="Q60" i="1"/>
  <c r="P60" i="1"/>
  <c r="O60" i="1"/>
  <c r="I25" i="41" s="1"/>
  <c r="N60" i="1"/>
  <c r="M60" i="1"/>
  <c r="AZ59" i="1"/>
  <c r="AY59" i="1"/>
  <c r="AX59" i="1"/>
  <c r="AW59" i="1"/>
  <c r="AV59" i="1"/>
  <c r="AU59" i="1"/>
  <c r="AT59" i="1"/>
  <c r="AS59" i="1"/>
  <c r="AR59" i="1"/>
  <c r="AQ59" i="1"/>
  <c r="AP59" i="1"/>
  <c r="AO59" i="1"/>
  <c r="AN59" i="1"/>
  <c r="AM59" i="1"/>
  <c r="AL59" i="1"/>
  <c r="AK59" i="1"/>
  <c r="AJ59" i="1"/>
  <c r="AI59" i="1"/>
  <c r="AH59" i="1"/>
  <c r="AG59" i="1"/>
  <c r="AF59" i="1"/>
  <c r="AE59" i="1"/>
  <c r="AD59" i="1"/>
  <c r="AC59" i="1"/>
  <c r="AB59" i="1"/>
  <c r="AA59" i="1"/>
  <c r="Z59" i="1"/>
  <c r="Y59" i="1"/>
  <c r="X59" i="1"/>
  <c r="W59" i="1"/>
  <c r="V59" i="1"/>
  <c r="U59" i="1"/>
  <c r="T59" i="1"/>
  <c r="S59" i="1"/>
  <c r="R59" i="1"/>
  <c r="Q59" i="1"/>
  <c r="P59" i="1"/>
  <c r="O59" i="1"/>
  <c r="N59" i="1"/>
  <c r="M59" i="1"/>
  <c r="AZ58" i="1"/>
  <c r="AY58" i="1"/>
  <c r="AX58" i="1"/>
  <c r="AW58" i="1"/>
  <c r="AV58" i="1"/>
  <c r="AU58" i="1"/>
  <c r="AT58" i="1"/>
  <c r="AS58" i="1"/>
  <c r="AR58" i="1"/>
  <c r="AQ58" i="1"/>
  <c r="AP58" i="1"/>
  <c r="AO58" i="1"/>
  <c r="AN58" i="1"/>
  <c r="AM58" i="1"/>
  <c r="AL58" i="1"/>
  <c r="AK58" i="1"/>
  <c r="AJ58" i="1"/>
  <c r="AI58" i="1"/>
  <c r="AH58" i="1"/>
  <c r="AG58" i="1"/>
  <c r="AF58" i="1"/>
  <c r="AE58" i="1"/>
  <c r="AD58" i="1"/>
  <c r="AC58" i="1"/>
  <c r="AB58" i="1"/>
  <c r="AA58" i="1"/>
  <c r="Z58" i="1"/>
  <c r="Y58" i="1"/>
  <c r="X58" i="1"/>
  <c r="W58" i="1"/>
  <c r="V58" i="1"/>
  <c r="U58" i="1"/>
  <c r="T58" i="1"/>
  <c r="S58" i="1"/>
  <c r="R58" i="1"/>
  <c r="Q58" i="1"/>
  <c r="P58" i="1"/>
  <c r="O58" i="1"/>
  <c r="N58" i="1"/>
  <c r="M58" i="1"/>
  <c r="AZ57" i="1"/>
  <c r="AY57" i="1"/>
  <c r="AX57" i="1"/>
  <c r="AW57" i="1"/>
  <c r="AV57" i="1"/>
  <c r="AU57" i="1"/>
  <c r="AT57" i="1"/>
  <c r="AS57" i="1"/>
  <c r="AR57" i="1"/>
  <c r="AQ57" i="1"/>
  <c r="AP57" i="1"/>
  <c r="AO57" i="1"/>
  <c r="AN57" i="1"/>
  <c r="AM57" i="1"/>
  <c r="AL57" i="1"/>
  <c r="AK57" i="1"/>
  <c r="AJ57" i="1"/>
  <c r="AI57" i="1"/>
  <c r="AH57" i="1"/>
  <c r="AG57" i="1"/>
  <c r="AF57" i="1"/>
  <c r="AE57" i="1"/>
  <c r="AD57" i="1"/>
  <c r="AC57" i="1"/>
  <c r="AB57" i="1"/>
  <c r="AA57" i="1"/>
  <c r="Z57" i="1"/>
  <c r="Y57" i="1"/>
  <c r="X57" i="1"/>
  <c r="W57" i="1"/>
  <c r="V57" i="1"/>
  <c r="U57" i="1"/>
  <c r="T57" i="1"/>
  <c r="S57" i="1"/>
  <c r="R57" i="1"/>
  <c r="Q57" i="1"/>
  <c r="P57" i="1"/>
  <c r="O57" i="1"/>
  <c r="N57" i="1"/>
  <c r="M57" i="1"/>
  <c r="AZ56" i="1"/>
  <c r="AY56" i="1"/>
  <c r="AX56" i="1"/>
  <c r="AW56" i="1"/>
  <c r="AV56" i="1"/>
  <c r="AU56" i="1"/>
  <c r="AT56" i="1"/>
  <c r="AS56" i="1"/>
  <c r="AR56" i="1"/>
  <c r="AQ56" i="1"/>
  <c r="AP56" i="1"/>
  <c r="AO56" i="1"/>
  <c r="AN56" i="1"/>
  <c r="AM56" i="1"/>
  <c r="AL56" i="1"/>
  <c r="AK56" i="1"/>
  <c r="AJ56" i="1"/>
  <c r="AI56" i="1"/>
  <c r="AH56" i="1"/>
  <c r="AG56" i="1"/>
  <c r="AF56" i="1"/>
  <c r="AE56" i="1"/>
  <c r="AD56" i="1"/>
  <c r="AC56" i="1"/>
  <c r="AB56" i="1"/>
  <c r="AA56" i="1"/>
  <c r="Z56" i="1"/>
  <c r="Y56" i="1"/>
  <c r="X56" i="1"/>
  <c r="W56" i="1"/>
  <c r="V56" i="1"/>
  <c r="U56" i="1"/>
  <c r="T56" i="1"/>
  <c r="S56" i="1"/>
  <c r="R56" i="1"/>
  <c r="Q56" i="1"/>
  <c r="P56" i="1"/>
  <c r="O56" i="1"/>
  <c r="N56" i="1"/>
  <c r="M56" i="1"/>
  <c r="AZ55" i="1"/>
  <c r="AY55" i="1"/>
  <c r="AX55" i="1"/>
  <c r="AW55" i="1"/>
  <c r="AV55" i="1"/>
  <c r="AU55" i="1"/>
  <c r="AT55" i="1"/>
  <c r="AS55" i="1"/>
  <c r="AR55" i="1"/>
  <c r="AQ55" i="1"/>
  <c r="AP55" i="1"/>
  <c r="AO55" i="1"/>
  <c r="AN55" i="1"/>
  <c r="AM55" i="1"/>
  <c r="AL55" i="1"/>
  <c r="AK55" i="1"/>
  <c r="AJ55" i="1"/>
  <c r="AI55" i="1"/>
  <c r="AH55" i="1"/>
  <c r="AG55" i="1"/>
  <c r="AF55" i="1"/>
  <c r="AE55" i="1"/>
  <c r="AD55" i="1"/>
  <c r="AC55" i="1"/>
  <c r="AB55" i="1"/>
  <c r="AA55" i="1"/>
  <c r="Z55" i="1"/>
  <c r="Y55" i="1"/>
  <c r="X55" i="1"/>
  <c r="W55" i="1"/>
  <c r="V55" i="1"/>
  <c r="U55" i="1"/>
  <c r="T55" i="1"/>
  <c r="S55" i="1"/>
  <c r="R55" i="1"/>
  <c r="Q55" i="1"/>
  <c r="P55" i="1"/>
  <c r="O55" i="1"/>
  <c r="N55" i="1"/>
  <c r="M55" i="1"/>
  <c r="E55" i="1"/>
  <c r="AZ54" i="1"/>
  <c r="AY54" i="1"/>
  <c r="AX54" i="1"/>
  <c r="AW54" i="1"/>
  <c r="AV54" i="1"/>
  <c r="AU54" i="1"/>
  <c r="AT54" i="1"/>
  <c r="AS54" i="1"/>
  <c r="AR54" i="1"/>
  <c r="AQ54" i="1"/>
  <c r="AP54" i="1"/>
  <c r="AO54" i="1"/>
  <c r="AN54" i="1"/>
  <c r="AM54" i="1"/>
  <c r="AL54" i="1"/>
  <c r="AK54" i="1"/>
  <c r="AJ54" i="1"/>
  <c r="AI54" i="1"/>
  <c r="AH54" i="1"/>
  <c r="AG54" i="1"/>
  <c r="AF54" i="1"/>
  <c r="AE54" i="1"/>
  <c r="AD54" i="1"/>
  <c r="AC54" i="1"/>
  <c r="AB54" i="1"/>
  <c r="AA54" i="1"/>
  <c r="Z54" i="1"/>
  <c r="Y54" i="1"/>
  <c r="X54" i="1"/>
  <c r="W54" i="1"/>
  <c r="V54" i="1"/>
  <c r="U54" i="1"/>
  <c r="T54" i="1"/>
  <c r="S54" i="1"/>
  <c r="R54" i="1"/>
  <c r="Q54" i="1"/>
  <c r="P54" i="1"/>
  <c r="O54" i="1"/>
  <c r="N54" i="1"/>
  <c r="M54" i="1"/>
  <c r="AZ53" i="1"/>
  <c r="AY53" i="1"/>
  <c r="AX53" i="1"/>
  <c r="AW53" i="1"/>
  <c r="AV53" i="1"/>
  <c r="AU53" i="1"/>
  <c r="AT53" i="1"/>
  <c r="AS53" i="1"/>
  <c r="AR53" i="1"/>
  <c r="AQ53" i="1"/>
  <c r="AP53" i="1"/>
  <c r="AO53" i="1"/>
  <c r="AN53" i="1"/>
  <c r="AM53" i="1"/>
  <c r="AL53" i="1"/>
  <c r="AK53" i="1"/>
  <c r="AJ53" i="1"/>
  <c r="AI53" i="1"/>
  <c r="AH53" i="1"/>
  <c r="AG53" i="1"/>
  <c r="AF53" i="1"/>
  <c r="AE53" i="1"/>
  <c r="AD53" i="1"/>
  <c r="AC53" i="1"/>
  <c r="AB53" i="1"/>
  <c r="AA53" i="1"/>
  <c r="Z53" i="1"/>
  <c r="Y53" i="1"/>
  <c r="X53" i="1"/>
  <c r="W53" i="1"/>
  <c r="V53" i="1"/>
  <c r="U53" i="1"/>
  <c r="T53" i="1"/>
  <c r="S53" i="1"/>
  <c r="R53" i="1"/>
  <c r="Q53" i="1"/>
  <c r="P53" i="1"/>
  <c r="O53" i="1"/>
  <c r="N53" i="1"/>
  <c r="M53" i="1"/>
  <c r="AZ52" i="1"/>
  <c r="AY52" i="1"/>
  <c r="AX52" i="1"/>
  <c r="AW52" i="1"/>
  <c r="AV52" i="1"/>
  <c r="AU52" i="1"/>
  <c r="AT52" i="1"/>
  <c r="AS52" i="1"/>
  <c r="AR52" i="1"/>
  <c r="AQ52" i="1"/>
  <c r="AP52" i="1"/>
  <c r="AO52" i="1"/>
  <c r="AN52" i="1"/>
  <c r="AM52" i="1"/>
  <c r="AL52" i="1"/>
  <c r="AK52" i="1"/>
  <c r="AJ52" i="1"/>
  <c r="AI52" i="1"/>
  <c r="AH52" i="1"/>
  <c r="AG52" i="1"/>
  <c r="AF52" i="1"/>
  <c r="AE52" i="1"/>
  <c r="AD52" i="1"/>
  <c r="AC52" i="1"/>
  <c r="AB52" i="1"/>
  <c r="AA52" i="1"/>
  <c r="Z52" i="1"/>
  <c r="Y52" i="1"/>
  <c r="X52" i="1"/>
  <c r="W52" i="1"/>
  <c r="V52" i="1"/>
  <c r="U52" i="1"/>
  <c r="T52" i="1"/>
  <c r="S52" i="1"/>
  <c r="R52" i="1"/>
  <c r="Q52" i="1"/>
  <c r="P52" i="1"/>
  <c r="O52" i="1"/>
  <c r="N52" i="1"/>
  <c r="M52" i="1"/>
  <c r="AZ51" i="1"/>
  <c r="AY51" i="1"/>
  <c r="AX51" i="1"/>
  <c r="AW51" i="1"/>
  <c r="AV51" i="1"/>
  <c r="AU51" i="1"/>
  <c r="AT51" i="1"/>
  <c r="AS51" i="1"/>
  <c r="AR51" i="1"/>
  <c r="AQ51" i="1"/>
  <c r="AP51" i="1"/>
  <c r="AO51" i="1"/>
  <c r="AN51" i="1"/>
  <c r="AM51" i="1"/>
  <c r="AL51" i="1"/>
  <c r="AK51" i="1"/>
  <c r="AJ51" i="1"/>
  <c r="AI51" i="1"/>
  <c r="AH51" i="1"/>
  <c r="AG51" i="1"/>
  <c r="AF51" i="1"/>
  <c r="AE51" i="1"/>
  <c r="AD51" i="1"/>
  <c r="AC51" i="1"/>
  <c r="AB51" i="1"/>
  <c r="AA51" i="1"/>
  <c r="Z51" i="1"/>
  <c r="Y51" i="1"/>
  <c r="X51" i="1"/>
  <c r="W51" i="1"/>
  <c r="V51" i="1"/>
  <c r="U51" i="1"/>
  <c r="T51" i="1"/>
  <c r="S51" i="1"/>
  <c r="R51" i="1"/>
  <c r="Q51" i="1"/>
  <c r="P51" i="1"/>
  <c r="O51" i="1"/>
  <c r="N51" i="1"/>
  <c r="M51" i="1"/>
  <c r="AZ50" i="1"/>
  <c r="AY50" i="1"/>
  <c r="AX50" i="1"/>
  <c r="AW50" i="1"/>
  <c r="AV50" i="1"/>
  <c r="AU50" i="1"/>
  <c r="AT50" i="1"/>
  <c r="AS50" i="1"/>
  <c r="AR50" i="1"/>
  <c r="AQ50" i="1"/>
  <c r="AP50" i="1"/>
  <c r="AO50" i="1"/>
  <c r="AN50" i="1"/>
  <c r="AM50" i="1"/>
  <c r="AL50" i="1"/>
  <c r="AK50" i="1"/>
  <c r="AJ50" i="1"/>
  <c r="AI50" i="1"/>
  <c r="AH50" i="1"/>
  <c r="AG50" i="1"/>
  <c r="AF50" i="1"/>
  <c r="AE50" i="1"/>
  <c r="AD50" i="1"/>
  <c r="AC50" i="1"/>
  <c r="AB50" i="1"/>
  <c r="AA50" i="1"/>
  <c r="Z50" i="1"/>
  <c r="Y50" i="1"/>
  <c r="X50" i="1"/>
  <c r="W50" i="1"/>
  <c r="V50" i="1"/>
  <c r="U50" i="1"/>
  <c r="T50" i="1"/>
  <c r="S50" i="1"/>
  <c r="R50" i="1"/>
  <c r="Q50" i="1"/>
  <c r="P50" i="1"/>
  <c r="O50" i="1"/>
  <c r="N50" i="1"/>
  <c r="M50" i="1"/>
  <c r="AZ49" i="1"/>
  <c r="AY49" i="1"/>
  <c r="AX49" i="1"/>
  <c r="AW49" i="1"/>
  <c r="AV49" i="1"/>
  <c r="AU49" i="1"/>
  <c r="AT49" i="1"/>
  <c r="AS49" i="1"/>
  <c r="AR49" i="1"/>
  <c r="AQ49" i="1"/>
  <c r="AP49" i="1"/>
  <c r="AO49" i="1"/>
  <c r="AN49" i="1"/>
  <c r="AM49" i="1"/>
  <c r="AL49" i="1"/>
  <c r="AK49" i="1"/>
  <c r="AJ49" i="1"/>
  <c r="AI49" i="1"/>
  <c r="AH49" i="1"/>
  <c r="AG49" i="1"/>
  <c r="AF49" i="1"/>
  <c r="AE49" i="1"/>
  <c r="AD49" i="1"/>
  <c r="AC49" i="1"/>
  <c r="AB49" i="1"/>
  <c r="AA49" i="1"/>
  <c r="Z49" i="1"/>
  <c r="Y49" i="1"/>
  <c r="X49" i="1"/>
  <c r="W49" i="1"/>
  <c r="V49" i="1"/>
  <c r="U49" i="1"/>
  <c r="T49" i="1"/>
  <c r="S49" i="1"/>
  <c r="R49" i="1"/>
  <c r="Q49" i="1"/>
  <c r="P49" i="1"/>
  <c r="O49" i="1"/>
  <c r="N49" i="1"/>
  <c r="M49" i="1"/>
  <c r="AZ48" i="1"/>
  <c r="AY48" i="1"/>
  <c r="AX48" i="1"/>
  <c r="AW48" i="1"/>
  <c r="AV48" i="1"/>
  <c r="AU48" i="1"/>
  <c r="AT48" i="1"/>
  <c r="AS48" i="1"/>
  <c r="AR48" i="1"/>
  <c r="AQ48" i="1"/>
  <c r="AP48" i="1"/>
  <c r="AO48" i="1"/>
  <c r="AN48" i="1"/>
  <c r="AM48" i="1"/>
  <c r="AL48" i="1"/>
  <c r="AK48" i="1"/>
  <c r="AJ48" i="1"/>
  <c r="AI48" i="1"/>
  <c r="AH48" i="1"/>
  <c r="AG48" i="1"/>
  <c r="AF48" i="1"/>
  <c r="AE48" i="1"/>
  <c r="AD48" i="1"/>
  <c r="AC48" i="1"/>
  <c r="AB48" i="1"/>
  <c r="AA48" i="1"/>
  <c r="Z48" i="1"/>
  <c r="Y48" i="1"/>
  <c r="X48" i="1"/>
  <c r="W48" i="1"/>
  <c r="V48" i="1"/>
  <c r="U48" i="1"/>
  <c r="T48" i="1"/>
  <c r="S48" i="1"/>
  <c r="R48" i="1"/>
  <c r="Q48" i="1"/>
  <c r="P48" i="1"/>
  <c r="O48" i="1"/>
  <c r="N48" i="1"/>
  <c r="M48" i="1"/>
  <c r="AZ47" i="1"/>
  <c r="AY47" i="1"/>
  <c r="AX47" i="1"/>
  <c r="AW47" i="1"/>
  <c r="AV47" i="1"/>
  <c r="AU47" i="1"/>
  <c r="AT47" i="1"/>
  <c r="AS47" i="1"/>
  <c r="AR47" i="1"/>
  <c r="AQ47" i="1"/>
  <c r="AP47" i="1"/>
  <c r="AO47" i="1"/>
  <c r="AN47" i="1"/>
  <c r="AM47" i="1"/>
  <c r="AL47" i="1"/>
  <c r="AK47" i="1"/>
  <c r="AJ47" i="1"/>
  <c r="AI47" i="1"/>
  <c r="AH47" i="1"/>
  <c r="AG47" i="1"/>
  <c r="AF47" i="1"/>
  <c r="AE47" i="1"/>
  <c r="AD47" i="1"/>
  <c r="AC47" i="1"/>
  <c r="AB47" i="1"/>
  <c r="AA47" i="1"/>
  <c r="Z47" i="1"/>
  <c r="Y47" i="1"/>
  <c r="X47" i="1"/>
  <c r="W47" i="1"/>
  <c r="V47" i="1"/>
  <c r="U47" i="1"/>
  <c r="T47" i="1"/>
  <c r="S47" i="1"/>
  <c r="R47" i="1"/>
  <c r="Q47" i="1"/>
  <c r="P47" i="1"/>
  <c r="O47" i="1"/>
  <c r="N47" i="1"/>
  <c r="M47" i="1"/>
  <c r="AZ46" i="1"/>
  <c r="AY46" i="1"/>
  <c r="AX46" i="1"/>
  <c r="AW46" i="1"/>
  <c r="AV46" i="1"/>
  <c r="AU46" i="1"/>
  <c r="AT46" i="1"/>
  <c r="AS46" i="1"/>
  <c r="AR46" i="1"/>
  <c r="AQ46" i="1"/>
  <c r="AP46" i="1"/>
  <c r="AO46" i="1"/>
  <c r="AN46" i="1"/>
  <c r="AM46" i="1"/>
  <c r="AL46" i="1"/>
  <c r="AK46" i="1"/>
  <c r="AJ46" i="1"/>
  <c r="AI46" i="1"/>
  <c r="AH46" i="1"/>
  <c r="AG46" i="1"/>
  <c r="AF46" i="1"/>
  <c r="AE46" i="1"/>
  <c r="AD46" i="1"/>
  <c r="AC46" i="1"/>
  <c r="AB46" i="1"/>
  <c r="AA46" i="1"/>
  <c r="Z46" i="1"/>
  <c r="Y46" i="1"/>
  <c r="X46" i="1"/>
  <c r="W46" i="1"/>
  <c r="V46" i="1"/>
  <c r="U46" i="1"/>
  <c r="T46" i="1"/>
  <c r="S46" i="1"/>
  <c r="R46" i="1"/>
  <c r="Q46" i="1"/>
  <c r="P46" i="1"/>
  <c r="O46" i="1"/>
  <c r="N46" i="1"/>
  <c r="M46" i="1"/>
  <c r="AZ45" i="1"/>
  <c r="AY45" i="1"/>
  <c r="AX45" i="1"/>
  <c r="AW45" i="1"/>
  <c r="AV45" i="1"/>
  <c r="AU45" i="1"/>
  <c r="AT45" i="1"/>
  <c r="AS45" i="1"/>
  <c r="AR45" i="1"/>
  <c r="AQ45" i="1"/>
  <c r="AP45" i="1"/>
  <c r="AP63" i="1" s="1"/>
  <c r="AP66" i="1" s="1"/>
  <c r="AO45" i="1"/>
  <c r="AO63" i="1" s="1"/>
  <c r="AO66" i="1" s="1"/>
  <c r="AN45" i="1"/>
  <c r="AM45" i="1"/>
  <c r="AM63" i="1" s="1"/>
  <c r="AM66" i="1" s="1"/>
  <c r="AL45" i="1"/>
  <c r="AL63" i="1" s="1"/>
  <c r="AL66" i="1" s="1"/>
  <c r="AK45" i="1"/>
  <c r="AJ45" i="1"/>
  <c r="AI45" i="1"/>
  <c r="AH45" i="1"/>
  <c r="AG45" i="1"/>
  <c r="AF45" i="1"/>
  <c r="AE45" i="1"/>
  <c r="AD45" i="1"/>
  <c r="AC45" i="1"/>
  <c r="AB45" i="1"/>
  <c r="AA45" i="1"/>
  <c r="Z45" i="1"/>
  <c r="Y45" i="1"/>
  <c r="X45" i="1"/>
  <c r="W45" i="1"/>
  <c r="V45" i="1"/>
  <c r="U45" i="1"/>
  <c r="T45" i="1"/>
  <c r="S45" i="1"/>
  <c r="R45" i="1"/>
  <c r="Q45" i="1"/>
  <c r="P45" i="1"/>
  <c r="O45" i="1"/>
  <c r="N45" i="1"/>
  <c r="M45" i="1"/>
  <c r="AZ44" i="1"/>
  <c r="AZ63" i="1" s="1"/>
  <c r="AZ66" i="1" s="1"/>
  <c r="AY44" i="1"/>
  <c r="AX44" i="1"/>
  <c r="AW44" i="1"/>
  <c r="AW63" i="1" s="1"/>
  <c r="AW66" i="1" s="1"/>
  <c r="AV44" i="1"/>
  <c r="AV63" i="1" s="1"/>
  <c r="AV66" i="1" s="1"/>
  <c r="AU44" i="1"/>
  <c r="AF44" i="1"/>
  <c r="AE44" i="1"/>
  <c r="AD44" i="1"/>
  <c r="AC44" i="1"/>
  <c r="AB44" i="1"/>
  <c r="AA44" i="1"/>
  <c r="Z44" i="1"/>
  <c r="Y44" i="1"/>
  <c r="X44" i="1"/>
  <c r="W44" i="1"/>
  <c r="V44" i="1"/>
  <c r="U44" i="1"/>
  <c r="T44" i="1"/>
  <c r="S44" i="1"/>
  <c r="R44" i="1"/>
  <c r="Q44" i="1"/>
  <c r="P44" i="1"/>
  <c r="O44" i="1"/>
  <c r="N44" i="1"/>
  <c r="M44" i="1"/>
  <c r="H25" i="41" l="1"/>
  <c r="L27" i="17"/>
  <c r="V27" i="17"/>
  <c r="AF27" i="17"/>
  <c r="AK63" i="1"/>
  <c r="AK66" i="1" s="1"/>
  <c r="AC27" i="41"/>
  <c r="AB27" i="41" s="1"/>
  <c r="AA27" i="41" s="1"/>
  <c r="Z27" i="41" s="1"/>
  <c r="X27" i="41" s="1"/>
  <c r="S27" i="41" s="1"/>
  <c r="R27" i="41" s="1"/>
  <c r="J25" i="41" s="1"/>
  <c r="AR63" i="1" s="1"/>
  <c r="AR66" i="1" s="1"/>
  <c r="AQ63" i="1" s="1"/>
  <c r="AQ66" i="1" s="1"/>
  <c r="AN63" i="1" s="1"/>
  <c r="AN66" i="1" s="1"/>
  <c r="AX63" i="1" s="1"/>
  <c r="AX66" i="1" s="1"/>
  <c r="AU63" i="1" s="1"/>
  <c r="AU66" i="1" s="1"/>
  <c r="AG27" i="17"/>
  <c r="X27" i="17"/>
  <c r="P63" i="1"/>
  <c r="P66" i="1" s="1"/>
  <c r="J9" i="41"/>
  <c r="O27" i="17"/>
  <c r="Q63" i="1"/>
  <c r="Q66" i="1" s="1"/>
  <c r="K9" i="41"/>
  <c r="Z27" i="17"/>
  <c r="AY63" i="1"/>
  <c r="AY66" i="1" s="1"/>
  <c r="AS62" i="1" s="1" a="1"/>
  <c r="AK27" i="17"/>
  <c r="M9" i="41"/>
  <c r="S63" i="1"/>
  <c r="S66" i="1" s="1"/>
  <c r="AE7" i="49"/>
  <c r="AA7" i="49"/>
  <c r="AB7" i="49"/>
  <c r="Y7" i="49"/>
  <c r="AM7" i="49"/>
  <c r="AS7" i="49"/>
  <c r="G11" i="41"/>
  <c r="AP7" i="49"/>
  <c r="AD7" i="49"/>
  <c r="AN7" i="49"/>
  <c r="AK7" i="49"/>
  <c r="K46" i="1"/>
  <c r="Z34" i="49" s="1"/>
  <c r="AA34" i="49" s="1"/>
  <c r="AQ7" i="49"/>
  <c r="AJ7" i="49"/>
  <c r="AO7" i="49"/>
  <c r="AF7" i="49"/>
  <c r="AR7" i="49"/>
  <c r="Z7" i="49"/>
  <c r="AG7" i="49"/>
  <c r="AH7" i="49"/>
  <c r="AI7" i="49"/>
  <c r="AL7" i="49"/>
  <c r="AC7" i="49"/>
  <c r="AC9" i="49"/>
  <c r="AF9" i="49"/>
  <c r="Z9" i="49"/>
  <c r="G13" i="41"/>
  <c r="AP9" i="49"/>
  <c r="AI9" i="49"/>
  <c r="AJ9" i="49"/>
  <c r="AH9" i="49"/>
  <c r="AO9" i="49"/>
  <c r="AS9" i="49"/>
  <c r="AR9" i="49"/>
  <c r="AN9" i="49"/>
  <c r="AK9" i="49"/>
  <c r="AL9" i="49"/>
  <c r="AM9" i="49"/>
  <c r="AG9" i="49"/>
  <c r="AA9" i="49"/>
  <c r="AE9" i="49"/>
  <c r="AB9" i="49"/>
  <c r="Y9" i="49"/>
  <c r="K48" i="1"/>
  <c r="Z36" i="49" s="1"/>
  <c r="AA36" i="49" s="1"/>
  <c r="AQ9" i="49"/>
  <c r="AD9" i="49"/>
  <c r="AK11" i="49"/>
  <c r="AM11" i="49"/>
  <c r="AE11" i="49"/>
  <c r="AD11" i="49"/>
  <c r="Y11" i="49"/>
  <c r="K50" i="1"/>
  <c r="Z38" i="49" s="1"/>
  <c r="AA38" i="49" s="1"/>
  <c r="AC11" i="49"/>
  <c r="AB11" i="49"/>
  <c r="AR11" i="49"/>
  <c r="AJ11" i="49"/>
  <c r="AL11" i="49"/>
  <c r="G15" i="41"/>
  <c r="AS11" i="49"/>
  <c r="AF11" i="49"/>
  <c r="AP11" i="49"/>
  <c r="AI11" i="49"/>
  <c r="AH11" i="49"/>
  <c r="AA11" i="49"/>
  <c r="AN11" i="49"/>
  <c r="AQ11" i="49"/>
  <c r="AO11" i="49"/>
  <c r="Z11" i="49"/>
  <c r="AG11" i="49"/>
  <c r="AC12" i="49"/>
  <c r="K51" i="1"/>
  <c r="Z39" i="49" s="1"/>
  <c r="AA39" i="49" s="1"/>
  <c r="AD12" i="49"/>
  <c r="AP12" i="49"/>
  <c r="AQ12" i="49"/>
  <c r="AJ12" i="49"/>
  <c r="AK12" i="49"/>
  <c r="AF12" i="49"/>
  <c r="AI12" i="49"/>
  <c r="AN12" i="49"/>
  <c r="AO12" i="49"/>
  <c r="AR12" i="49"/>
  <c r="AH12" i="49"/>
  <c r="AB12" i="49"/>
  <c r="AM12" i="49"/>
  <c r="AE12" i="49"/>
  <c r="AG12" i="49"/>
  <c r="AA12" i="49"/>
  <c r="Z12" i="49"/>
  <c r="AL12" i="49"/>
  <c r="G16" i="41"/>
  <c r="AS12" i="49"/>
  <c r="Y12" i="49"/>
  <c r="AL27" i="17"/>
  <c r="N9" i="41"/>
  <c r="T63" i="1"/>
  <c r="T66" i="1" s="1"/>
  <c r="X9" i="41"/>
  <c r="AD63" i="1"/>
  <c r="AD66" i="1" s="1"/>
  <c r="AB10" i="41"/>
  <c r="AH63" i="1"/>
  <c r="AH66" i="1" s="1"/>
  <c r="AH16" i="49"/>
  <c r="AJ16" i="49"/>
  <c r="K55" i="1"/>
  <c r="Z43" i="49" s="1"/>
  <c r="AO16" i="49"/>
  <c r="AB16" i="49"/>
  <c r="AL16" i="49"/>
  <c r="AQ16" i="49"/>
  <c r="AA16" i="49"/>
  <c r="AG16" i="49"/>
  <c r="AP16" i="49"/>
  <c r="AR16" i="49"/>
  <c r="Y16" i="49"/>
  <c r="AM16" i="49"/>
  <c r="AD16" i="49"/>
  <c r="AK16" i="49"/>
  <c r="AI16" i="49"/>
  <c r="AS16" i="49"/>
  <c r="Z16" i="49"/>
  <c r="AF16" i="49"/>
  <c r="AC16" i="49"/>
  <c r="G20" i="41"/>
  <c r="AN16" i="49"/>
  <c r="AE16" i="49"/>
  <c r="G21" i="41"/>
  <c r="AC17" i="49"/>
  <c r="AQ17" i="49"/>
  <c r="Z17" i="49"/>
  <c r="AI17" i="49"/>
  <c r="AJ17" i="49"/>
  <c r="AM17" i="49"/>
  <c r="AA17" i="49"/>
  <c r="AR17" i="49"/>
  <c r="AB17" i="49"/>
  <c r="AE17" i="49"/>
  <c r="AN17" i="49"/>
  <c r="AL17" i="49"/>
  <c r="AK17" i="49"/>
  <c r="AH17" i="49"/>
  <c r="AD17" i="49"/>
  <c r="AS17" i="49"/>
  <c r="AO17" i="49"/>
  <c r="AF17" i="49"/>
  <c r="AP17" i="49"/>
  <c r="AG17" i="49"/>
  <c r="K56" i="1"/>
  <c r="Z44" i="49" s="1"/>
  <c r="Y17" i="49"/>
  <c r="AE18" i="49"/>
  <c r="AJ18" i="49"/>
  <c r="AO18" i="49"/>
  <c r="AS18" i="49"/>
  <c r="AH18" i="49"/>
  <c r="AF18" i="49"/>
  <c r="AI18" i="49"/>
  <c r="AN18" i="49"/>
  <c r="Y18" i="49"/>
  <c r="AR18" i="49"/>
  <c r="K57" i="1"/>
  <c r="Z45" i="49" s="1"/>
  <c r="AP18" i="49"/>
  <c r="Z18" i="49"/>
  <c r="AQ18" i="49"/>
  <c r="AM18" i="49"/>
  <c r="AG18" i="49"/>
  <c r="AK18" i="49"/>
  <c r="AD18" i="49"/>
  <c r="AL18" i="49"/>
  <c r="AA18" i="49"/>
  <c r="AC18" i="49"/>
  <c r="G22" i="41"/>
  <c r="AB18" i="49"/>
  <c r="AI19" i="49"/>
  <c r="AN19" i="49"/>
  <c r="AK19" i="49"/>
  <c r="AL19" i="49"/>
  <c r="Y19" i="49"/>
  <c r="AE19" i="49"/>
  <c r="AS19" i="49"/>
  <c r="Z19" i="49"/>
  <c r="AJ19" i="49"/>
  <c r="G23" i="41"/>
  <c r="AG19" i="49"/>
  <c r="AQ19" i="49"/>
  <c r="AB19" i="49"/>
  <c r="AA19" i="49"/>
  <c r="K58" i="1"/>
  <c r="Z46" i="49" s="1"/>
  <c r="AD19" i="49"/>
  <c r="AH19" i="49"/>
  <c r="AC19" i="49"/>
  <c r="AM19" i="49"/>
  <c r="AO19" i="49"/>
  <c r="AF19" i="49"/>
  <c r="AR19" i="49"/>
  <c r="AP19" i="49"/>
  <c r="AP20" i="49"/>
  <c r="Y20" i="49"/>
  <c r="AI20" i="49"/>
  <c r="AE20" i="49"/>
  <c r="AA20" i="49"/>
  <c r="AK20" i="49"/>
  <c r="G24" i="41"/>
  <c r="AR20" i="49"/>
  <c r="AF20" i="49"/>
  <c r="AC20" i="49"/>
  <c r="AG20" i="49"/>
  <c r="K59" i="1"/>
  <c r="Z47" i="49" s="1"/>
  <c r="AJ20" i="49"/>
  <c r="Z20" i="49"/>
  <c r="AM20" i="49"/>
  <c r="AD20" i="49"/>
  <c r="AS20" i="49"/>
  <c r="AN20" i="49"/>
  <c r="AO20" i="49"/>
  <c r="AQ20" i="49"/>
  <c r="AH20" i="49"/>
  <c r="AL20" i="49"/>
  <c r="AB20" i="49"/>
  <c r="Z21" i="49"/>
  <c r="AS21" i="49"/>
  <c r="AP21" i="49"/>
  <c r="Y21" i="49"/>
  <c r="K60" i="1"/>
  <c r="Z48" i="49" s="1"/>
  <c r="AH21" i="49"/>
  <c r="AN21" i="49"/>
  <c r="G25" i="41"/>
  <c r="AA21" i="49"/>
  <c r="AD21" i="49"/>
  <c r="AB21" i="49"/>
  <c r="AC21" i="49"/>
  <c r="AG21" i="49"/>
  <c r="AF21" i="49"/>
  <c r="AI21" i="49"/>
  <c r="AE21" i="49"/>
  <c r="AO21" i="49"/>
  <c r="AM21" i="49"/>
  <c r="AR21" i="49"/>
  <c r="AK21" i="49"/>
  <c r="AJ21" i="49"/>
  <c r="AQ21" i="49"/>
  <c r="AL21" i="49"/>
  <c r="AP22" i="49"/>
  <c r="AE22" i="49"/>
  <c r="AC22" i="49"/>
  <c r="K61" i="1"/>
  <c r="Z49" i="49" s="1"/>
  <c r="Y22" i="49"/>
  <c r="AJ22" i="49"/>
  <c r="AK22" i="49"/>
  <c r="AH22" i="49"/>
  <c r="AS22" i="49"/>
  <c r="AO22" i="49"/>
  <c r="AA22" i="49"/>
  <c r="AL22" i="49"/>
  <c r="AN22" i="49"/>
  <c r="AM22" i="49"/>
  <c r="AQ22" i="49"/>
  <c r="AF22" i="49"/>
  <c r="AR22" i="49"/>
  <c r="AB22" i="49"/>
  <c r="AD22" i="49"/>
  <c r="G26" i="41"/>
  <c r="Z22" i="49"/>
  <c r="AG22" i="49"/>
  <c r="AI22" i="49"/>
  <c r="AL23" i="49"/>
  <c r="AN23" i="49"/>
  <c r="AG23" i="49"/>
  <c r="Y23" i="49"/>
  <c r="AK23" i="49"/>
  <c r="AJ23" i="49"/>
  <c r="AB23" i="49"/>
  <c r="Z23" i="49"/>
  <c r="AF23" i="49"/>
  <c r="G27" i="41"/>
  <c r="AQ23" i="49"/>
  <c r="AA23" i="49"/>
  <c r="AD23" i="49"/>
  <c r="AC23" i="49"/>
  <c r="AH23" i="49"/>
  <c r="AR23" i="49"/>
  <c r="AM23" i="49"/>
  <c r="AE23" i="49"/>
  <c r="AI23" i="49"/>
  <c r="AO23" i="49"/>
  <c r="AS23" i="49"/>
  <c r="AP23" i="49"/>
  <c r="P27" i="41"/>
  <c r="O27" i="41" s="1"/>
  <c r="N27" i="41" s="1"/>
  <c r="M27" i="41" s="1"/>
  <c r="L27" i="41" s="1"/>
  <c r="K27" i="41" s="1"/>
  <c r="J27" i="41" s="1"/>
  <c r="I27" i="41" s="1"/>
  <c r="H27" i="41" s="1"/>
  <c r="AE26" i="41" s="1"/>
  <c r="AD26" i="41" s="1"/>
  <c r="AC26" i="41" s="1"/>
  <c r="AB26" i="41" s="1"/>
  <c r="AA26" i="41" s="1"/>
  <c r="Z26" i="41" s="1"/>
  <c r="Y26" i="41" s="1"/>
  <c r="X26" i="41" s="1"/>
  <c r="W26" i="41" s="1"/>
  <c r="V26" i="41" s="1"/>
  <c r="U26" i="41" s="1"/>
  <c r="T26" i="41" s="1"/>
  <c r="S26" i="41" s="1"/>
  <c r="R26" i="41" s="1"/>
  <c r="Q26" i="41" s="1"/>
  <c r="P26" i="41" s="1"/>
  <c r="O26" i="41" s="1"/>
  <c r="N26" i="41" s="1"/>
  <c r="M26" i="41" s="1"/>
  <c r="L26" i="41" s="1"/>
  <c r="K26" i="41" s="1"/>
  <c r="J26" i="41" s="1"/>
  <c r="I26" i="41" s="1"/>
  <c r="H26" i="41" s="1"/>
  <c r="AE25" i="41" s="1"/>
  <c r="AD25" i="41" s="1"/>
  <c r="AC25" i="41" s="1"/>
  <c r="AB25" i="41" s="1"/>
  <c r="AA25" i="41" s="1"/>
  <c r="Z25" i="41" s="1"/>
  <c r="Y25" i="41" s="1"/>
  <c r="X25" i="41" s="1"/>
  <c r="W25" i="41" s="1"/>
  <c r="V25" i="41" s="1"/>
  <c r="U25" i="41" s="1"/>
  <c r="T25" i="41" s="1"/>
  <c r="S25" i="41" s="1"/>
  <c r="R25" i="41" s="1"/>
  <c r="Q25" i="41" s="1"/>
  <c r="P25" i="41" s="1"/>
  <c r="O25" i="41" s="1"/>
  <c r="N25" i="41" s="1"/>
  <c r="M25" i="41" s="1"/>
  <c r="L25" i="41" s="1"/>
  <c r="K25" i="41" s="1"/>
  <c r="I27" i="17"/>
  <c r="S27" i="17"/>
  <c r="AC27" i="17"/>
  <c r="AM27" i="17"/>
  <c r="H9" i="41"/>
  <c r="N63" i="1"/>
  <c r="N66" i="1" s="1"/>
  <c r="W27" i="17"/>
  <c r="N27" i="17"/>
  <c r="Z63" i="1"/>
  <c r="Z66" i="1" s="1"/>
  <c r="T9" i="41"/>
  <c r="AI27" i="17"/>
  <c r="AJ27" i="17"/>
  <c r="AA27" i="17"/>
  <c r="AC63" i="1"/>
  <c r="AC66" i="1" s="1"/>
  <c r="W9" i="41"/>
  <c r="AA10" i="41"/>
  <c r="AG63" i="1"/>
  <c r="AG66" i="1" s="1"/>
  <c r="AM8" i="49"/>
  <c r="AG8" i="49"/>
  <c r="AR8" i="49"/>
  <c r="AF8" i="49"/>
  <c r="AH8" i="49"/>
  <c r="AC8" i="49"/>
  <c r="AN8" i="49"/>
  <c r="AI8" i="49"/>
  <c r="AQ8" i="49"/>
  <c r="AE8" i="49"/>
  <c r="AB8" i="49"/>
  <c r="AD8" i="49"/>
  <c r="AO8" i="49"/>
  <c r="AL8" i="49"/>
  <c r="Z8" i="49"/>
  <c r="AK8" i="49"/>
  <c r="K47" i="1"/>
  <c r="Z35" i="49" s="1"/>
  <c r="AA35" i="49" s="1"/>
  <c r="AA8" i="49"/>
  <c r="AP8" i="49"/>
  <c r="Y8" i="49"/>
  <c r="AS8" i="49"/>
  <c r="AJ8" i="49"/>
  <c r="G12" i="41"/>
  <c r="AH14" i="49"/>
  <c r="AK14" i="49"/>
  <c r="AJ14" i="49"/>
  <c r="AI14" i="49"/>
  <c r="AB14" i="49"/>
  <c r="AP14" i="49"/>
  <c r="AE14" i="49"/>
  <c r="Y14" i="49"/>
  <c r="K53" i="1"/>
  <c r="Z41" i="49" s="1"/>
  <c r="AA41" i="49" s="1"/>
  <c r="Z14" i="49"/>
  <c r="AD14" i="49"/>
  <c r="AM14" i="49"/>
  <c r="AL14" i="49"/>
  <c r="AO14" i="49"/>
  <c r="G18" i="41"/>
  <c r="AA14" i="49"/>
  <c r="AC14" i="49"/>
  <c r="AN14" i="49"/>
  <c r="AR14" i="49"/>
  <c r="AS14" i="49"/>
  <c r="AF14" i="49"/>
  <c r="AG14" i="49"/>
  <c r="AQ14" i="49"/>
  <c r="AI15" i="49"/>
  <c r="Y15" i="49"/>
  <c r="G19" i="41"/>
  <c r="Z15" i="49"/>
  <c r="AG15" i="49"/>
  <c r="AE15" i="49"/>
  <c r="AK15" i="49"/>
  <c r="AQ15" i="49"/>
  <c r="AN15" i="49"/>
  <c r="AF15" i="49"/>
  <c r="AA15" i="49"/>
  <c r="AS15" i="49"/>
  <c r="AB15" i="49"/>
  <c r="AL15" i="49"/>
  <c r="AR15" i="49"/>
  <c r="AC15" i="49"/>
  <c r="AJ15" i="49"/>
  <c r="AP15" i="49"/>
  <c r="AM15" i="49"/>
  <c r="AH15" i="49"/>
  <c r="AO15" i="49"/>
  <c r="AD15" i="49"/>
  <c r="K54" i="1"/>
  <c r="Z42" i="49" s="1"/>
  <c r="AA42" i="49" s="1"/>
  <c r="AB27" i="17"/>
  <c r="O9" i="41"/>
  <c r="U63" i="1"/>
  <c r="U66" i="1" s="1"/>
  <c r="Y9" i="41"/>
  <c r="AE63" i="1"/>
  <c r="AE66" i="1" s="1"/>
  <c r="AI63" i="1"/>
  <c r="AI66" i="1" s="1"/>
  <c r="AC10" i="41"/>
  <c r="J27" i="17"/>
  <c r="T27" i="17"/>
  <c r="AD27" i="17"/>
  <c r="AN27" i="17"/>
  <c r="AS5" i="49"/>
  <c r="AK5" i="49"/>
  <c r="AI5" i="49"/>
  <c r="AQ5" i="49"/>
  <c r="AN5" i="49"/>
  <c r="AO5" i="49"/>
  <c r="AE5" i="49"/>
  <c r="AA5" i="49"/>
  <c r="M63" i="1"/>
  <c r="AG5" i="49"/>
  <c r="AF5" i="49"/>
  <c r="AB5" i="49"/>
  <c r="G9" i="41"/>
  <c r="Y5" i="49"/>
  <c r="AM5" i="49"/>
  <c r="AR5" i="49"/>
  <c r="Z5" i="49"/>
  <c r="AL5" i="49"/>
  <c r="AC5" i="49"/>
  <c r="K44" i="1"/>
  <c r="Z32" i="49" s="1"/>
  <c r="AJ5" i="49"/>
  <c r="AD5" i="49"/>
  <c r="AP5" i="49"/>
  <c r="AH5" i="49"/>
  <c r="W63" i="1"/>
  <c r="W66" i="1" s="1"/>
  <c r="Q9" i="41"/>
  <c r="R9" i="41"/>
  <c r="X63" i="1"/>
  <c r="X66" i="1" s="1"/>
  <c r="M27" i="17"/>
  <c r="O63" i="1"/>
  <c r="O66" i="1" s="1"/>
  <c r="I9" i="41"/>
  <c r="S9" i="41"/>
  <c r="Y63" i="1"/>
  <c r="Y66" i="1" s="1"/>
  <c r="AH27" i="17"/>
  <c r="Y27" i="17"/>
  <c r="AA63" i="1"/>
  <c r="AA66" i="1" s="1"/>
  <c r="U9" i="41"/>
  <c r="P27" i="17"/>
  <c r="L9" i="41"/>
  <c r="R63" i="1"/>
  <c r="R66" i="1" s="1"/>
  <c r="AB63" i="1"/>
  <c r="AB66" i="1" s="1"/>
  <c r="V9" i="41"/>
  <c r="W27" i="41"/>
  <c r="V27" i="41" s="1"/>
  <c r="T27" i="41" s="1"/>
  <c r="AE10" i="41" s="1"/>
  <c r="Q27" i="17"/>
  <c r="AJ6" i="49"/>
  <c r="AA6" i="49"/>
  <c r="K45" i="1"/>
  <c r="Z33" i="49" s="1"/>
  <c r="AA33" i="49" s="1"/>
  <c r="AC6" i="49"/>
  <c r="AL6" i="49"/>
  <c r="AG6" i="49"/>
  <c r="AQ6" i="49"/>
  <c r="AP6" i="49"/>
  <c r="G10" i="41"/>
  <c r="AM6" i="49"/>
  <c r="AI6" i="49"/>
  <c r="AF6" i="49"/>
  <c r="AH6" i="49"/>
  <c r="AB6" i="49"/>
  <c r="AS6" i="49"/>
  <c r="AK6" i="49"/>
  <c r="AR6" i="49"/>
  <c r="Y6" i="49"/>
  <c r="AE6" i="49"/>
  <c r="AN6" i="49"/>
  <c r="Z6" i="49"/>
  <c r="AD6" i="49"/>
  <c r="AO6" i="49"/>
  <c r="Y10" i="49"/>
  <c r="AK10" i="49"/>
  <c r="AR10" i="49"/>
  <c r="AQ10" i="49"/>
  <c r="Z10" i="49"/>
  <c r="AA10" i="49"/>
  <c r="G14" i="41"/>
  <c r="AJ10" i="49"/>
  <c r="AN10" i="49"/>
  <c r="AP10" i="49"/>
  <c r="AL10" i="49"/>
  <c r="AC10" i="49"/>
  <c r="AG10" i="49"/>
  <c r="AB10" i="49"/>
  <c r="AF10" i="49"/>
  <c r="AM10" i="49"/>
  <c r="K49" i="1"/>
  <c r="Z37" i="49" s="1"/>
  <c r="AA37" i="49" s="1"/>
  <c r="AD10" i="49"/>
  <c r="AE10" i="49"/>
  <c r="AO10" i="49"/>
  <c r="AI10" i="49"/>
  <c r="AH10" i="49"/>
  <c r="AS10" i="49"/>
  <c r="G17" i="41"/>
  <c r="Z13" i="49"/>
  <c r="AJ13" i="49"/>
  <c r="AP13" i="49"/>
  <c r="AQ13" i="49"/>
  <c r="AK13" i="49"/>
  <c r="AE13" i="49"/>
  <c r="AD13" i="49"/>
  <c r="AG13" i="49"/>
  <c r="AL13" i="49"/>
  <c r="AS13" i="49"/>
  <c r="AA13" i="49"/>
  <c r="AB13" i="49"/>
  <c r="AM13" i="49"/>
  <c r="K52" i="1"/>
  <c r="Z40" i="49" s="1"/>
  <c r="AA40" i="49" s="1"/>
  <c r="Y13" i="49"/>
  <c r="AI13" i="49"/>
  <c r="AN13" i="49"/>
  <c r="AO13" i="49"/>
  <c r="AC13" i="49"/>
  <c r="AH13" i="49"/>
  <c r="AR13" i="49"/>
  <c r="AF13" i="49"/>
  <c r="AC11" i="39"/>
  <c r="E56" i="1"/>
  <c r="E57" i="1"/>
  <c r="R27" i="17"/>
  <c r="P9" i="41"/>
  <c r="V63" i="1"/>
  <c r="V66" i="1" s="1"/>
  <c r="Z9" i="41"/>
  <c r="AF63" i="1"/>
  <c r="AF66" i="1" s="1"/>
  <c r="AJ63" i="1"/>
  <c r="AJ66" i="1" s="1"/>
  <c r="AD10" i="41"/>
  <c r="AT63" i="1"/>
  <c r="AT66" i="1" s="1"/>
  <c r="AE24" i="41"/>
  <c r="AD24" i="41" s="1"/>
  <c r="AC24" i="41" s="1"/>
  <c r="AB24" i="41" s="1"/>
  <c r="AA24" i="41" s="1"/>
  <c r="Z24" i="41" s="1"/>
  <c r="Y24" i="41" s="1"/>
  <c r="X24" i="41" s="1"/>
  <c r="W24" i="41" s="1"/>
  <c r="V24" i="41" s="1"/>
  <c r="U24" i="41" s="1"/>
  <c r="T24" i="41" s="1"/>
  <c r="S24" i="41" s="1"/>
  <c r="R24" i="41" s="1"/>
  <c r="Q24" i="41" s="1"/>
  <c r="P24" i="41" s="1"/>
  <c r="O24" i="41" s="1"/>
  <c r="N24" i="41" s="1"/>
  <c r="M24" i="41" s="1"/>
  <c r="L24" i="41" s="1"/>
  <c r="K24" i="41" s="1"/>
  <c r="J24" i="41" s="1"/>
  <c r="I24" i="41" s="1"/>
  <c r="H24" i="41" s="1"/>
  <c r="AE23" i="41" s="1"/>
  <c r="AD23" i="41" s="1"/>
  <c r="AC23" i="41" s="1"/>
  <c r="AB23" i="41" s="1"/>
  <c r="AA23" i="41" s="1"/>
  <c r="Z23" i="41" s="1"/>
  <c r="Y23" i="41" s="1"/>
  <c r="X23" i="41" s="1"/>
  <c r="W23" i="41" s="1"/>
  <c r="V23" i="41" s="1"/>
  <c r="U23" i="41" s="1"/>
  <c r="T23" i="41" s="1"/>
  <c r="S23" i="41" s="1"/>
  <c r="R23" i="41" s="1"/>
  <c r="Q23" i="41" s="1"/>
  <c r="P23" i="41" s="1"/>
  <c r="O23" i="41" s="1"/>
  <c r="N23" i="41" s="1"/>
  <c r="M23" i="41" s="1"/>
  <c r="L23" i="41" s="1"/>
  <c r="K23" i="41" s="1"/>
  <c r="J23" i="41" s="1"/>
  <c r="I23" i="41" s="1"/>
  <c r="H23" i="41" s="1"/>
  <c r="AE22" i="41" s="1"/>
  <c r="AD22" i="41" s="1"/>
  <c r="AC22" i="41" s="1"/>
  <c r="AB22" i="41" s="1"/>
  <c r="AA22" i="41" s="1"/>
  <c r="Z22" i="41" s="1"/>
  <c r="Y22" i="41" s="1"/>
  <c r="X22" i="41" s="1"/>
  <c r="W22" i="41" s="1"/>
  <c r="V22" i="41" s="1"/>
  <c r="U22" i="41" s="1"/>
  <c r="T22" i="41" s="1"/>
  <c r="S22" i="41" s="1"/>
  <c r="R22" i="41" s="1"/>
  <c r="Q22" i="41" s="1"/>
  <c r="P22" i="41" s="1"/>
  <c r="O22" i="41" s="1"/>
  <c r="N22" i="41" s="1"/>
  <c r="M22" i="41" s="1"/>
  <c r="L22" i="41" s="1"/>
  <c r="K22" i="41" s="1"/>
  <c r="J22" i="41" s="1"/>
  <c r="I22" i="41" s="1"/>
  <c r="H22" i="41" s="1"/>
  <c r="AE21" i="41" s="1"/>
  <c r="AD21" i="41" s="1"/>
  <c r="AC21" i="41" s="1"/>
  <c r="AB21" i="41" s="1"/>
  <c r="AA21" i="41" s="1"/>
  <c r="Z21" i="41" s="1"/>
  <c r="Y21" i="41" s="1"/>
  <c r="X21" i="41" s="1"/>
  <c r="W21" i="41" s="1"/>
  <c r="V21" i="41" s="1"/>
  <c r="U21" i="41" s="1"/>
  <c r="T21" i="41" s="1"/>
  <c r="S21" i="41" s="1"/>
  <c r="R21" i="41" s="1"/>
  <c r="Q21" i="41" s="1"/>
  <c r="P21" i="41" s="1"/>
  <c r="O21" i="41" s="1"/>
  <c r="N21" i="41" s="1"/>
  <c r="M21" i="41" s="1"/>
  <c r="L21" i="41" s="1"/>
  <c r="K21" i="41" s="1"/>
  <c r="J21" i="41" s="1"/>
  <c r="I21" i="41" s="1"/>
  <c r="H21" i="41" s="1"/>
  <c r="AE20" i="41" s="1"/>
  <c r="AD20" i="41" s="1"/>
  <c r="AC20" i="41" s="1"/>
  <c r="AB20" i="41" s="1"/>
  <c r="AA20" i="41" s="1"/>
  <c r="Z20" i="41" s="1"/>
  <c r="Y20" i="41" s="1"/>
  <c r="X20" i="41" s="1"/>
  <c r="W20" i="41" s="1"/>
  <c r="V20" i="41" s="1"/>
  <c r="U20" i="41" s="1"/>
  <c r="T20" i="41" s="1"/>
  <c r="S20" i="41" s="1"/>
  <c r="R20" i="41" s="1"/>
  <c r="Q20" i="41" s="1"/>
  <c r="P20" i="41" s="1"/>
  <c r="O20" i="41" s="1"/>
  <c r="N20" i="41" s="1"/>
  <c r="M20" i="41" s="1"/>
  <c r="L20" i="41" s="1"/>
  <c r="K20" i="41" s="1"/>
  <c r="J20" i="41" s="1"/>
  <c r="I20" i="41" s="1"/>
  <c r="H20" i="41" s="1"/>
  <c r="AE19" i="41" s="1"/>
  <c r="AD19" i="41" s="1"/>
  <c r="AC19" i="41" s="1"/>
  <c r="AB19" i="41" s="1"/>
  <c r="AA19" i="41" s="1"/>
  <c r="Z19" i="41" s="1"/>
  <c r="Y19" i="41" s="1"/>
  <c r="X19" i="41" s="1"/>
  <c r="W19" i="41" s="1"/>
  <c r="V19" i="41" s="1"/>
  <c r="U19" i="41" s="1"/>
  <c r="T19" i="41" s="1"/>
  <c r="S19" i="41" s="1"/>
  <c r="R19" i="41" s="1"/>
  <c r="Q19" i="41" s="1"/>
  <c r="P19" i="41" s="1"/>
  <c r="O19" i="41" s="1"/>
  <c r="N19" i="41" s="1"/>
  <c r="M19" i="41" s="1"/>
  <c r="L19" i="41" s="1"/>
  <c r="K19" i="41" s="1"/>
  <c r="J19" i="41" s="1"/>
  <c r="I19" i="41" s="1"/>
  <c r="H19" i="41" s="1"/>
  <c r="AE18" i="41" s="1"/>
  <c r="AD18" i="41" s="1"/>
  <c r="AC18" i="41" s="1"/>
  <c r="AB18" i="41" s="1"/>
  <c r="AA18" i="41" s="1"/>
  <c r="Z18" i="41" s="1"/>
  <c r="Y18" i="41" s="1"/>
  <c r="X18" i="41" s="1"/>
  <c r="W18" i="41" s="1"/>
  <c r="V18" i="41" s="1"/>
  <c r="U18" i="41" s="1"/>
  <c r="T18" i="41" s="1"/>
  <c r="S18" i="41" s="1"/>
  <c r="R18" i="41" s="1"/>
  <c r="Q18" i="41" s="1"/>
  <c r="P18" i="41" s="1"/>
  <c r="O18" i="41" s="1"/>
  <c r="N18" i="41" s="1"/>
  <c r="M18" i="41" s="1"/>
  <c r="L18" i="41" s="1"/>
  <c r="K18" i="41" s="1"/>
  <c r="J18" i="41" s="1"/>
  <c r="I18" i="41" s="1"/>
  <c r="H18" i="41" s="1"/>
  <c r="AE17" i="41" s="1"/>
  <c r="AD17" i="41" s="1"/>
  <c r="AC17" i="41" s="1"/>
  <c r="AB17" i="41" s="1"/>
  <c r="AA17" i="41" s="1"/>
  <c r="Z17" i="41" s="1"/>
  <c r="Y17" i="41" s="1"/>
  <c r="X17" i="41" s="1"/>
  <c r="W17" i="41" s="1"/>
  <c r="V17" i="41" s="1"/>
  <c r="U17" i="41" s="1"/>
  <c r="T17" i="41" s="1"/>
  <c r="S17" i="41" s="1"/>
  <c r="R17" i="41" s="1"/>
  <c r="Q17" i="41" s="1"/>
  <c r="P17" i="41" s="1"/>
  <c r="O17" i="41" s="1"/>
  <c r="N17" i="41" s="1"/>
  <c r="M17" i="41" s="1"/>
  <c r="L17" i="41" s="1"/>
  <c r="K17" i="41" s="1"/>
  <c r="J17" i="41" s="1"/>
  <c r="I17" i="41" s="1"/>
  <c r="H17" i="41" s="1"/>
  <c r="AE16" i="41" s="1"/>
  <c r="AD16" i="41" s="1"/>
  <c r="AC16" i="41" s="1"/>
  <c r="AB16" i="41" s="1"/>
  <c r="AA16" i="41" s="1"/>
  <c r="Z16" i="41" s="1"/>
  <c r="Y16" i="41" s="1"/>
  <c r="X16" i="41" s="1"/>
  <c r="W16" i="41" s="1"/>
  <c r="V16" i="41" s="1"/>
  <c r="U16" i="41" s="1"/>
  <c r="T16" i="41" s="1"/>
  <c r="S16" i="41" s="1"/>
  <c r="R16" i="41" s="1"/>
  <c r="Q16" i="41" s="1"/>
  <c r="P16" i="41" s="1"/>
  <c r="O16" i="41" s="1"/>
  <c r="N16" i="41" s="1"/>
  <c r="M16" i="41" s="1"/>
  <c r="L16" i="41" s="1"/>
  <c r="K16" i="41" s="1"/>
  <c r="J16" i="41" s="1"/>
  <c r="I16" i="41" s="1"/>
  <c r="H16" i="41" s="1"/>
  <c r="AE15" i="41" s="1"/>
  <c r="AD15" i="41" s="1"/>
  <c r="AC15" i="41" s="1"/>
  <c r="AB15" i="41" s="1"/>
  <c r="AA15" i="41" s="1"/>
  <c r="Z15" i="41" s="1"/>
  <c r="Y15" i="41" s="1"/>
  <c r="X15" i="41" s="1"/>
  <c r="W15" i="41" s="1"/>
  <c r="V15" i="41" s="1"/>
  <c r="U15" i="41" s="1"/>
  <c r="T15" i="41" s="1"/>
  <c r="S15" i="41" s="1"/>
  <c r="R15" i="41" s="1"/>
  <c r="Q15" i="41" s="1"/>
  <c r="P15" i="41" s="1"/>
  <c r="O15" i="41" s="1"/>
  <c r="N15" i="41" s="1"/>
  <c r="M15" i="41" s="1"/>
  <c r="L15" i="41" s="1"/>
  <c r="K15" i="41" s="1"/>
  <c r="J15" i="41" s="1"/>
  <c r="I15" i="41" s="1"/>
  <c r="H15" i="41" s="1"/>
  <c r="AE14" i="41" s="1"/>
  <c r="AD14" i="41" s="1"/>
  <c r="AC14" i="41" s="1"/>
  <c r="AB14" i="41" s="1"/>
  <c r="AA14" i="41" s="1"/>
  <c r="Z14" i="41" s="1"/>
  <c r="Y14" i="41" s="1"/>
  <c r="X14" i="41" s="1"/>
  <c r="W14" i="41" s="1"/>
  <c r="V14" i="41" s="1"/>
  <c r="U14" i="41" s="1"/>
  <c r="T14" i="41" s="1"/>
  <c r="S14" i="41" s="1"/>
  <c r="R14" i="41" s="1"/>
  <c r="Q14" i="41" s="1"/>
  <c r="P14" i="41" s="1"/>
  <c r="O14" i="41" s="1"/>
  <c r="N14" i="41" s="1"/>
  <c r="M14" i="41" s="1"/>
  <c r="L14" i="41" s="1"/>
  <c r="K14" i="41" s="1"/>
  <c r="J14" i="41" s="1"/>
  <c r="I14" i="41" s="1"/>
  <c r="H14" i="41" s="1"/>
  <c r="AE13" i="41" s="1"/>
  <c r="AD13" i="41" s="1"/>
  <c r="AC13" i="41" s="1"/>
  <c r="AB13" i="41" s="1"/>
  <c r="AA13" i="41" s="1"/>
  <c r="Z13" i="41" s="1"/>
  <c r="Y13" i="41" s="1"/>
  <c r="X13" i="41" s="1"/>
  <c r="W13" i="41" s="1"/>
  <c r="V13" i="41" s="1"/>
  <c r="U13" i="41" s="1"/>
  <c r="T13" i="41" s="1"/>
  <c r="S13" i="41" s="1"/>
  <c r="R13" i="41" s="1"/>
  <c r="Q13" i="41" s="1"/>
  <c r="P13" i="41" s="1"/>
  <c r="O13" i="41" s="1"/>
  <c r="N13" i="41" s="1"/>
  <c r="M13" i="41" s="1"/>
  <c r="L13" i="41" s="1"/>
  <c r="K13" i="41" s="1"/>
  <c r="J13" i="41" s="1"/>
  <c r="I13" i="41" s="1"/>
  <c r="H13" i="41" s="1"/>
  <c r="AE12" i="41" s="1"/>
  <c r="AD12" i="41" s="1"/>
  <c r="AC12" i="41" s="1"/>
  <c r="AB12" i="41" s="1"/>
  <c r="AA12" i="41" s="1"/>
  <c r="Z12" i="41" s="1"/>
  <c r="Y12" i="41" s="1"/>
  <c r="X12" i="41" s="1"/>
  <c r="W12" i="41" s="1"/>
  <c r="V12" i="41" s="1"/>
  <c r="U12" i="41" s="1"/>
  <c r="T12" i="41" s="1"/>
  <c r="S12" i="41" s="1"/>
  <c r="R12" i="41" s="1"/>
  <c r="Q12" i="41" s="1"/>
  <c r="P12" i="41" s="1"/>
  <c r="O12" i="41" s="1"/>
  <c r="N12" i="41" s="1"/>
  <c r="M12" i="41" s="1"/>
  <c r="L12" i="41" s="1"/>
  <c r="K12" i="41" s="1"/>
  <c r="J12" i="41" s="1"/>
  <c r="I12" i="41" s="1"/>
  <c r="H12" i="41" s="1"/>
  <c r="AE11" i="41" s="1"/>
  <c r="AD11" i="41" s="1"/>
  <c r="AC11" i="41" s="1"/>
  <c r="AB11" i="41" s="1"/>
  <c r="AA11" i="41" s="1"/>
  <c r="Z11" i="41" s="1"/>
  <c r="Y11" i="41" s="1"/>
  <c r="X11" i="41" s="1"/>
  <c r="W11" i="41" s="1"/>
  <c r="V11" i="41" s="1"/>
  <c r="U11" i="41" s="1"/>
  <c r="T11" i="41" s="1"/>
  <c r="S11" i="41" s="1"/>
  <c r="R11" i="41" s="1"/>
  <c r="Q11" i="41" s="1"/>
  <c r="P11" i="41" s="1"/>
  <c r="O11" i="41" s="1"/>
  <c r="N11" i="41" s="1"/>
  <c r="M11" i="41" s="1"/>
  <c r="L11" i="41" s="1"/>
  <c r="K11" i="41" s="1"/>
  <c r="J11" i="41" s="1"/>
  <c r="I11" i="41" s="1"/>
  <c r="H11" i="41" s="1"/>
  <c r="Z10" i="41" s="1"/>
  <c r="Y10" i="41" s="1"/>
  <c r="X10" i="41" s="1"/>
  <c r="W10" i="41" s="1"/>
  <c r="V10" i="41" s="1"/>
  <c r="U10" i="41" s="1"/>
  <c r="T10" i="41" s="1"/>
  <c r="S10" i="41" s="1"/>
  <c r="R10" i="41" s="1"/>
  <c r="Q10" i="41" s="1"/>
  <c r="P10" i="41" s="1"/>
  <c r="O10" i="41" s="1"/>
  <c r="N10" i="41" s="1"/>
  <c r="M10" i="41" s="1"/>
  <c r="L10" i="41" s="1"/>
  <c r="K10" i="41" s="1"/>
  <c r="J10" i="41" s="1"/>
  <c r="I10" i="41" s="1"/>
  <c r="H10" i="41" s="1"/>
  <c r="K27" i="17"/>
  <c r="U27" i="17"/>
  <c r="AE27" i="17"/>
  <c r="AO27" i="17"/>
  <c r="H34" i="41" l="1"/>
  <c r="U34" i="41"/>
  <c r="U56" i="41" s="1"/>
  <c r="R34" i="41"/>
  <c r="R8" i="42" s="1"/>
  <c r="R10" i="42" s="1"/>
  <c r="W34" i="41"/>
  <c r="AB34" i="41"/>
  <c r="W56" i="41"/>
  <c r="Z64" i="45"/>
  <c r="Z65" i="45" s="1"/>
  <c r="Z67" i="45" s="1"/>
  <c r="W8" i="42"/>
  <c r="W10" i="42" s="1"/>
  <c r="E58" i="1"/>
  <c r="E64" i="1"/>
  <c r="AC21" i="39"/>
  <c r="AC12" i="39"/>
  <c r="D49" i="43"/>
  <c r="K34" i="41"/>
  <c r="AE34" i="41"/>
  <c r="N34" i="41"/>
  <c r="S34" i="41"/>
  <c r="I34" i="41"/>
  <c r="Z34" i="41"/>
  <c r="AA32" i="49"/>
  <c r="L34" i="41"/>
  <c r="M66" i="1"/>
  <c r="H56" i="41"/>
  <c r="K64" i="45"/>
  <c r="K65" i="45" s="1"/>
  <c r="K67" i="45" s="1"/>
  <c r="H8" i="42"/>
  <c r="H10" i="42" s="1"/>
  <c r="AB8" i="42"/>
  <c r="AB10" i="42" s="1"/>
  <c r="AE64" i="45"/>
  <c r="AE65" i="45" s="1"/>
  <c r="AE67" i="45" s="1"/>
  <c r="AB56" i="41"/>
  <c r="Q34" i="41"/>
  <c r="AS62" i="1"/>
  <c r="AS63" i="1" s="1"/>
  <c r="AS66" i="1" s="1"/>
  <c r="K66" i="1" s="1"/>
  <c r="K70" i="1" s="1"/>
  <c r="AC34" i="41"/>
  <c r="X34" i="41"/>
  <c r="AD34" i="41"/>
  <c r="G34" i="41"/>
  <c r="V34" i="41"/>
  <c r="W35" i="41" s="1"/>
  <c r="Y34" i="41"/>
  <c r="T34" i="41"/>
  <c r="J34" i="41"/>
  <c r="O34" i="41"/>
  <c r="P34" i="41"/>
  <c r="AA34" i="41"/>
  <c r="AB35" i="41" s="1"/>
  <c r="M34" i="41"/>
  <c r="R35" i="41" l="1"/>
  <c r="R56" i="41"/>
  <c r="U64" i="45"/>
  <c r="U65" i="45" s="1"/>
  <c r="U67" i="45" s="1"/>
  <c r="R70" i="42" s="1"/>
  <c r="X64" i="45"/>
  <c r="X65" i="45" s="1"/>
  <c r="X67" i="45" s="1"/>
  <c r="U8" i="42"/>
  <c r="U10" i="42" s="1"/>
  <c r="I56" i="41"/>
  <c r="L64" i="45"/>
  <c r="L65" i="45" s="1"/>
  <c r="L67" i="45" s="1"/>
  <c r="I35" i="41"/>
  <c r="I8" i="42"/>
  <c r="I10" i="42" s="1"/>
  <c r="J56" i="41"/>
  <c r="J8" i="42"/>
  <c r="J10" i="42" s="1"/>
  <c r="J35" i="41"/>
  <c r="M64" i="45"/>
  <c r="M65" i="45" s="1"/>
  <c r="M67" i="45" s="1"/>
  <c r="T56" i="41"/>
  <c r="W64" i="45"/>
  <c r="W65" i="45" s="1"/>
  <c r="W67" i="45" s="1"/>
  <c r="T35" i="41"/>
  <c r="T8" i="42"/>
  <c r="T10" i="42" s="1"/>
  <c r="V64" i="45"/>
  <c r="V65" i="45" s="1"/>
  <c r="V67" i="45" s="1"/>
  <c r="S70" i="42" s="1"/>
  <c r="S35" i="41"/>
  <c r="S56" i="41"/>
  <c r="S8" i="42"/>
  <c r="S10" i="42" s="1"/>
  <c r="AB64" i="45"/>
  <c r="AB65" i="45" s="1"/>
  <c r="AB67" i="45" s="1"/>
  <c r="Y56" i="41"/>
  <c r="Y35" i="41"/>
  <c r="Y8" i="42"/>
  <c r="Y10" i="42" s="1"/>
  <c r="R32" i="42"/>
  <c r="U28" i="45"/>
  <c r="R13" i="42"/>
  <c r="R16" i="42" s="1"/>
  <c r="W70" i="42"/>
  <c r="Y64" i="45"/>
  <c r="Y65" i="45" s="1"/>
  <c r="Y67" i="45" s="1"/>
  <c r="V8" i="42"/>
  <c r="V10" i="42" s="1"/>
  <c r="V35" i="41"/>
  <c r="V56" i="41"/>
  <c r="AB32" i="42"/>
  <c r="AB13" i="42"/>
  <c r="AB16" i="42" s="1"/>
  <c r="AE28" i="45"/>
  <c r="K35" i="41"/>
  <c r="K56" i="41"/>
  <c r="K8" i="42"/>
  <c r="K10" i="42" s="1"/>
  <c r="N64" i="45"/>
  <c r="N65" i="45" s="1"/>
  <c r="N67" i="45" s="1"/>
  <c r="AD56" i="41"/>
  <c r="AG64" i="45"/>
  <c r="AG65" i="45" s="1"/>
  <c r="AG67" i="45" s="1"/>
  <c r="AD35" i="41"/>
  <c r="AD8" i="42"/>
  <c r="AD10" i="42" s="1"/>
  <c r="O64" i="45"/>
  <c r="O65" i="45" s="1"/>
  <c r="O67" i="45" s="1"/>
  <c r="L70" i="42" s="1"/>
  <c r="L56" i="41"/>
  <c r="L35" i="41"/>
  <c r="L8" i="42"/>
  <c r="L10" i="42" s="1"/>
  <c r="U32" i="42"/>
  <c r="U13" i="42"/>
  <c r="U16" i="42" s="1"/>
  <c r="X28" i="45"/>
  <c r="P64" i="45"/>
  <c r="P65" i="45" s="1"/>
  <c r="P67" i="45" s="1"/>
  <c r="M56" i="41"/>
  <c r="M8" i="42"/>
  <c r="M10" i="42" s="1"/>
  <c r="M35" i="41"/>
  <c r="X8" i="42"/>
  <c r="X10" i="42" s="1"/>
  <c r="AA64" i="45"/>
  <c r="AA65" i="45" s="1"/>
  <c r="AA67" i="45" s="1"/>
  <c r="X56" i="41"/>
  <c r="X35" i="41"/>
  <c r="K28" i="45"/>
  <c r="H32" i="42"/>
  <c r="H13" i="42"/>
  <c r="AC27" i="39"/>
  <c r="D50" i="43"/>
  <c r="AC34" i="39"/>
  <c r="U35" i="41"/>
  <c r="P56" i="41"/>
  <c r="S64" i="45"/>
  <c r="S65" i="45" s="1"/>
  <c r="S67" i="45" s="1"/>
  <c r="P35" i="41"/>
  <c r="P8" i="42"/>
  <c r="P10" i="42" s="1"/>
  <c r="G5" i="1"/>
  <c r="F9" i="1"/>
  <c r="F5" i="1"/>
  <c r="Z56" i="41"/>
  <c r="Z8" i="42"/>
  <c r="Z10" i="42" s="1"/>
  <c r="Z35" i="41"/>
  <c r="AC64" i="45"/>
  <c r="AC65" i="45" s="1"/>
  <c r="AC67" i="45" s="1"/>
  <c r="R64" i="45"/>
  <c r="R65" i="45" s="1"/>
  <c r="R67" i="45" s="1"/>
  <c r="O70" i="42" s="1"/>
  <c r="O35" i="41"/>
  <c r="O56" i="41"/>
  <c r="O8" i="42"/>
  <c r="O10" i="42" s="1"/>
  <c r="K62" i="1"/>
  <c r="Z50" i="49" s="1"/>
  <c r="Q8" i="42"/>
  <c r="Q10" i="42" s="1"/>
  <c r="Q35" i="41"/>
  <c r="Q56" i="41"/>
  <c r="T64" i="45"/>
  <c r="T65" i="45" s="1"/>
  <c r="T67" i="45" s="1"/>
  <c r="Z28" i="45"/>
  <c r="W13" i="42"/>
  <c r="W16" i="42" s="1"/>
  <c r="W32" i="42"/>
  <c r="AB70" i="42"/>
  <c r="N56" i="41"/>
  <c r="N35" i="41"/>
  <c r="N8" i="42"/>
  <c r="N10" i="42" s="1"/>
  <c r="Q64" i="45"/>
  <c r="Q65" i="45" s="1"/>
  <c r="Q67" i="45" s="1"/>
  <c r="K63" i="1"/>
  <c r="K69" i="1" s="1"/>
  <c r="AH64" i="45"/>
  <c r="AH65" i="45" s="1"/>
  <c r="AH67" i="45" s="1"/>
  <c r="AE35" i="41"/>
  <c r="AE56" i="41"/>
  <c r="AE8" i="42"/>
  <c r="AE10" i="42" s="1"/>
  <c r="G56" i="41"/>
  <c r="J64" i="45"/>
  <c r="J65" i="45" s="1"/>
  <c r="J67" i="45" s="1"/>
  <c r="G8" i="42"/>
  <c r="G10" i="42" s="1"/>
  <c r="U70" i="42"/>
  <c r="H35" i="41"/>
  <c r="D54" i="43"/>
  <c r="F49" i="43"/>
  <c r="AA8" i="42"/>
  <c r="AA10" i="42" s="1"/>
  <c r="AA56" i="41"/>
  <c r="AA35" i="41"/>
  <c r="AD64" i="45"/>
  <c r="AD65" i="45" s="1"/>
  <c r="AD67" i="45" s="1"/>
  <c r="AC8" i="42"/>
  <c r="AC10" i="42" s="1"/>
  <c r="AC35" i="41"/>
  <c r="AF64" i="45"/>
  <c r="AF65" i="45" s="1"/>
  <c r="AF67" i="45" s="1"/>
  <c r="AC56" i="41"/>
  <c r="H70" i="42"/>
  <c r="K77" i="45"/>
  <c r="K80" i="45" s="1"/>
  <c r="H35" i="42" s="1"/>
  <c r="N29" i="1" s="1"/>
  <c r="E8" i="44"/>
  <c r="N44" i="39"/>
  <c r="O44" i="39" s="1"/>
  <c r="V77" i="45" l="1"/>
  <c r="V80" i="45" s="1"/>
  <c r="S35" i="42" s="1"/>
  <c r="Y29" i="1" s="1"/>
  <c r="W27" i="44"/>
  <c r="V70" i="42"/>
  <c r="Y77" i="45"/>
  <c r="Y80" i="45" s="1"/>
  <c r="V35" i="42" s="1"/>
  <c r="AB29" i="1" s="1"/>
  <c r="W77" i="45"/>
  <c r="W80" i="45" s="1"/>
  <c r="T35" i="42" s="1"/>
  <c r="Z29" i="1" s="1"/>
  <c r="T70" i="42"/>
  <c r="I13" i="44"/>
  <c r="K15" i="44"/>
  <c r="N13" i="44"/>
  <c r="G15" i="44"/>
  <c r="W15" i="44"/>
  <c r="O15" i="44"/>
  <c r="L15" i="44"/>
  <c r="T15" i="44"/>
  <c r="V15" i="44"/>
  <c r="AC15" i="44"/>
  <c r="S15" i="44"/>
  <c r="F17" i="44"/>
  <c r="N14" i="44"/>
  <c r="X15" i="44"/>
  <c r="Q15" i="44"/>
  <c r="P13" i="44"/>
  <c r="I14" i="44"/>
  <c r="U15" i="44"/>
  <c r="K14" i="44"/>
  <c r="I15" i="44"/>
  <c r="P14" i="44"/>
  <c r="R15" i="44"/>
  <c r="H15" i="44"/>
  <c r="AD15" i="44"/>
  <c r="J14" i="44"/>
  <c r="Y15" i="44"/>
  <c r="G13" i="44"/>
  <c r="H14" i="44"/>
  <c r="L13" i="44"/>
  <c r="Z15" i="44"/>
  <c r="K13" i="44"/>
  <c r="G14" i="44"/>
  <c r="M13" i="44"/>
  <c r="O14" i="44"/>
  <c r="L14" i="44"/>
  <c r="AB15" i="44"/>
  <c r="N15" i="44"/>
  <c r="H13" i="44"/>
  <c r="AE15" i="44"/>
  <c r="M15" i="44"/>
  <c r="J13" i="44"/>
  <c r="P15" i="44"/>
  <c r="O13" i="44"/>
  <c r="AA15" i="44"/>
  <c r="M14" i="44"/>
  <c r="J15" i="44"/>
  <c r="AD28" i="45"/>
  <c r="AA13" i="42"/>
  <c r="AA16" i="42" s="1"/>
  <c r="AA32" i="42"/>
  <c r="AH28" i="45"/>
  <c r="AE13" i="42"/>
  <c r="AE16" i="42" s="1"/>
  <c r="AE32" i="42"/>
  <c r="S28" i="45"/>
  <c r="P32" i="42"/>
  <c r="P13" i="42"/>
  <c r="H27" i="44"/>
  <c r="X33" i="45"/>
  <c r="X45" i="45" s="1"/>
  <c r="X37" i="45"/>
  <c r="X49" i="45" s="1"/>
  <c r="V32" i="42"/>
  <c r="V13" i="42"/>
  <c r="V16" i="42" s="1"/>
  <c r="Y28" i="45"/>
  <c r="Y70" i="42"/>
  <c r="AB77" i="45"/>
  <c r="AB80" i="45" s="1"/>
  <c r="Y35" i="42" s="1"/>
  <c r="AE29" i="1" s="1"/>
  <c r="J70" i="42"/>
  <c r="M77" i="45"/>
  <c r="M80" i="45" s="1"/>
  <c r="J35" i="42" s="1"/>
  <c r="P29" i="1" s="1"/>
  <c r="Z37" i="45"/>
  <c r="Z49" i="45" s="1"/>
  <c r="Z33" i="45"/>
  <c r="Z45" i="45" s="1"/>
  <c r="T77" i="45"/>
  <c r="T80" i="45" s="1"/>
  <c r="Q35" i="42" s="1"/>
  <c r="W29" i="1" s="1"/>
  <c r="Q70" i="42"/>
  <c r="X70" i="42"/>
  <c r="AA77" i="45"/>
  <c r="AA80" i="45" s="1"/>
  <c r="X35" i="42" s="1"/>
  <c r="AD29" i="1" s="1"/>
  <c r="J32" i="42"/>
  <c r="J13" i="42"/>
  <c r="M28" i="45"/>
  <c r="R77" i="45"/>
  <c r="R80" i="45" s="1"/>
  <c r="O35" i="42" s="1"/>
  <c r="U29" i="1" s="1"/>
  <c r="N70" i="42"/>
  <c r="Q77" i="45"/>
  <c r="Q80" i="45" s="1"/>
  <c r="N35" i="42" s="1"/>
  <c r="T29" i="1" s="1"/>
  <c r="AC28" i="45"/>
  <c r="Z32" i="42"/>
  <c r="F49" i="40"/>
  <c r="Z13" i="42"/>
  <c r="Z16" i="42" s="1"/>
  <c r="E25" i="40"/>
  <c r="G5" i="41"/>
  <c r="E13" i="40"/>
  <c r="AA28" i="45"/>
  <c r="X13" i="42"/>
  <c r="X16" i="42" s="1"/>
  <c r="X32" i="42"/>
  <c r="AE37" i="45"/>
  <c r="AE49" i="45" s="1"/>
  <c r="AE33" i="45"/>
  <c r="AE45" i="45" s="1"/>
  <c r="U37" i="45"/>
  <c r="U49" i="45" s="1"/>
  <c r="U33" i="45"/>
  <c r="U45" i="45" s="1"/>
  <c r="T32" i="42"/>
  <c r="T13" i="42"/>
  <c r="T16" i="42" s="1"/>
  <c r="W28" i="45"/>
  <c r="F36" i="43"/>
  <c r="V28" i="45"/>
  <c r="S13" i="42"/>
  <c r="S16" i="42" s="1"/>
  <c r="S32" i="42"/>
  <c r="P70" i="42"/>
  <c r="S77" i="45"/>
  <c r="S80" i="45" s="1"/>
  <c r="P35" i="42" s="1"/>
  <c r="V29" i="1" s="1"/>
  <c r="U27" i="44"/>
  <c r="U30" i="44" s="1"/>
  <c r="K13" i="42"/>
  <c r="K32" i="42"/>
  <c r="N28" i="45"/>
  <c r="Z77" i="45"/>
  <c r="Z80" i="45" s="1"/>
  <c r="W35" i="42" s="1"/>
  <c r="AC29" i="1" s="1"/>
  <c r="AE70" i="42"/>
  <c r="AH77" i="45"/>
  <c r="AH80" i="45" s="1"/>
  <c r="AE35" i="42" s="1"/>
  <c r="Z70" i="42"/>
  <c r="AC77" i="45"/>
  <c r="AC80" i="45" s="1"/>
  <c r="Z35" i="42" s="1"/>
  <c r="AF29" i="1" s="1"/>
  <c r="O28" i="45"/>
  <c r="L32" i="42"/>
  <c r="L13" i="42"/>
  <c r="AC70" i="42"/>
  <c r="AF77" i="45"/>
  <c r="AF80" i="45" s="1"/>
  <c r="AC35" i="42" s="1"/>
  <c r="X77" i="45"/>
  <c r="X80" i="45" s="1"/>
  <c r="U35" i="42" s="1"/>
  <c r="AA29" i="1" s="1"/>
  <c r="AF28" i="45"/>
  <c r="AC32" i="42"/>
  <c r="AC13" i="42"/>
  <c r="AC16" i="42" s="1"/>
  <c r="N32" i="42"/>
  <c r="N13" i="42"/>
  <c r="Q28" i="45"/>
  <c r="F50" i="43"/>
  <c r="F51" i="43" s="1"/>
  <c r="D55" i="43"/>
  <c r="E58" i="43" s="1"/>
  <c r="R27" i="44"/>
  <c r="I13" i="42"/>
  <c r="L28" i="45"/>
  <c r="I32" i="42"/>
  <c r="J77" i="45"/>
  <c r="J80" i="45" s="1"/>
  <c r="G35" i="42" s="1"/>
  <c r="G70" i="42"/>
  <c r="AA50" i="49"/>
  <c r="AA52" i="49" s="1"/>
  <c r="AA57" i="49" s="1"/>
  <c r="Z52" i="49"/>
  <c r="I70" i="42"/>
  <c r="L77" i="45"/>
  <c r="L80" i="45" s="1"/>
  <c r="I35" i="42" s="1"/>
  <c r="O29" i="1" s="1"/>
  <c r="O77" i="45"/>
  <c r="O80" i="45" s="1"/>
  <c r="L35" i="42" s="1"/>
  <c r="R29" i="1" s="1"/>
  <c r="K70" i="42"/>
  <c r="N77" i="45"/>
  <c r="N80" i="45" s="1"/>
  <c r="K35" i="42" s="1"/>
  <c r="Q29" i="1" s="1"/>
  <c r="AD77" i="45"/>
  <c r="AD80" i="45" s="1"/>
  <c r="AA35" i="42" s="1"/>
  <c r="AA70" i="42"/>
  <c r="G32" i="42"/>
  <c r="J28" i="45"/>
  <c r="G13" i="42"/>
  <c r="Q32" i="42"/>
  <c r="Q13" i="42"/>
  <c r="Q16" i="42" s="1"/>
  <c r="T28" i="45"/>
  <c r="N41" i="39"/>
  <c r="O41" i="39" s="1"/>
  <c r="F87" i="42"/>
  <c r="M13" i="42"/>
  <c r="M32" i="42"/>
  <c r="P28" i="45"/>
  <c r="AD13" i="42"/>
  <c r="AD16" i="42" s="1"/>
  <c r="AD32" i="42"/>
  <c r="AG28" i="45"/>
  <c r="AB27" i="44"/>
  <c r="Y32" i="42"/>
  <c r="Y13" i="42"/>
  <c r="Y16" i="42" s="1"/>
  <c r="AB28" i="45"/>
  <c r="AE77" i="45"/>
  <c r="AE80" i="45" s="1"/>
  <c r="AB35" i="42" s="1"/>
  <c r="O13" i="42"/>
  <c r="O32" i="42"/>
  <c r="R28" i="45"/>
  <c r="M70" i="42"/>
  <c r="P77" i="45"/>
  <c r="P80" i="45" s="1"/>
  <c r="M35" i="42" s="1"/>
  <c r="S29" i="1" s="1"/>
  <c r="AD70" i="42"/>
  <c r="AG77" i="45"/>
  <c r="AG80" i="45" s="1"/>
  <c r="AD35" i="42" s="1"/>
  <c r="U77" i="45"/>
  <c r="U80" i="45" s="1"/>
  <c r="R35" i="42" s="1"/>
  <c r="X29" i="1" s="1"/>
  <c r="AB30" i="44" l="1"/>
  <c r="V28" i="1"/>
  <c r="P16" i="44"/>
  <c r="F82" i="42"/>
  <c r="F84" i="42" s="1"/>
  <c r="G17" i="44"/>
  <c r="M27" i="44"/>
  <c r="M30" i="44" s="1"/>
  <c r="L27" i="44"/>
  <c r="L30" i="44" s="1"/>
  <c r="I45" i="42"/>
  <c r="I29" i="44"/>
  <c r="AF28" i="1"/>
  <c r="Z16" i="44"/>
  <c r="AA27" i="44"/>
  <c r="AA30" i="44" s="1"/>
  <c r="AK28" i="1"/>
  <c r="AE16" i="44"/>
  <c r="AB28" i="1"/>
  <c r="V16" i="44"/>
  <c r="T27" i="44"/>
  <c r="T30" i="44" s="1"/>
  <c r="AA28" i="1"/>
  <c r="U16" i="44"/>
  <c r="T33" i="45"/>
  <c r="T45" i="45" s="1"/>
  <c r="T37" i="45"/>
  <c r="T49" i="45" s="1"/>
  <c r="T28" i="1"/>
  <c r="N16" i="44"/>
  <c r="R30" i="44"/>
  <c r="S27" i="44"/>
  <c r="S30" i="44" s="1"/>
  <c r="AD27" i="44"/>
  <c r="AD30" i="44" s="1"/>
  <c r="Z57" i="49"/>
  <c r="Z54" i="49"/>
  <c r="F55" i="43"/>
  <c r="F58" i="43" s="1"/>
  <c r="V37" i="45"/>
  <c r="V49" i="45" s="1"/>
  <c r="V33" i="45"/>
  <c r="V45" i="45" s="1"/>
  <c r="AC37" i="45"/>
  <c r="AC49" i="45" s="1"/>
  <c r="AC33" i="45"/>
  <c r="AC45" i="45" s="1"/>
  <c r="AA16" i="44"/>
  <c r="AG28" i="1"/>
  <c r="R31" i="45"/>
  <c r="R33" i="45" s="1"/>
  <c r="R45" i="45" s="1"/>
  <c r="R35" i="45"/>
  <c r="R37" i="45" s="1"/>
  <c r="R49" i="45" s="1"/>
  <c r="O44" i="42"/>
  <c r="O28" i="44"/>
  <c r="O15" i="42"/>
  <c r="O16" i="42" s="1"/>
  <c r="AJ28" i="1"/>
  <c r="AD16" i="44"/>
  <c r="X16" i="44"/>
  <c r="AD28" i="1"/>
  <c r="M28" i="1"/>
  <c r="G16" i="44"/>
  <c r="Y37" i="45"/>
  <c r="Y49" i="45" s="1"/>
  <c r="Y33" i="45"/>
  <c r="Y45" i="45" s="1"/>
  <c r="O45" i="42"/>
  <c r="O29" i="44"/>
  <c r="M29" i="44"/>
  <c r="M45" i="42"/>
  <c r="N28" i="1"/>
  <c r="H16" i="44"/>
  <c r="Q31" i="45"/>
  <c r="Q33" i="45" s="1"/>
  <c r="Q45" i="45" s="1"/>
  <c r="Q35" i="45"/>
  <c r="Q37" i="45" s="1"/>
  <c r="Q49" i="45" s="1"/>
  <c r="N28" i="44"/>
  <c r="N15" i="42"/>
  <c r="N16" i="42" s="1"/>
  <c r="N44" i="42"/>
  <c r="N45" i="42"/>
  <c r="N29" i="44"/>
  <c r="G27" i="44"/>
  <c r="G30" i="44" s="1"/>
  <c r="E32" i="42"/>
  <c r="AE27" i="44"/>
  <c r="AE30" i="44" s="1"/>
  <c r="R16" i="44"/>
  <c r="X28" i="1"/>
  <c r="Q28" i="1"/>
  <c r="K16" i="44"/>
  <c r="AA37" i="45"/>
  <c r="AA49" i="45" s="1"/>
  <c r="AA33" i="45"/>
  <c r="AA45" i="45" s="1"/>
  <c r="P15" i="42"/>
  <c r="P16" i="42" s="1"/>
  <c r="S35" i="45"/>
  <c r="S37" i="45" s="1"/>
  <c r="S49" i="45" s="1"/>
  <c r="S31" i="45"/>
  <c r="S33" i="45" s="1"/>
  <c r="S45" i="45" s="1"/>
  <c r="P44" i="42"/>
  <c r="P28" i="44"/>
  <c r="X27" i="44"/>
  <c r="X30" i="44" s="1"/>
  <c r="E35" i="42"/>
  <c r="M29" i="1"/>
  <c r="K29" i="1" s="1"/>
  <c r="Y30" i="49" s="1"/>
  <c r="V27" i="44"/>
  <c r="V30" i="44" s="1"/>
  <c r="F37" i="43"/>
  <c r="F38" i="43" s="1"/>
  <c r="I27" i="44"/>
  <c r="I30" i="44" s="1"/>
  <c r="S28" i="1"/>
  <c r="M16" i="44"/>
  <c r="T16" i="44"/>
  <c r="Z28" i="1"/>
  <c r="Y28" i="1"/>
  <c r="S16" i="44"/>
  <c r="W37" i="45"/>
  <c r="W49" i="45" s="1"/>
  <c r="W33" i="45"/>
  <c r="W45" i="45" s="1"/>
  <c r="O28" i="1"/>
  <c r="I16" i="44"/>
  <c r="L29" i="44"/>
  <c r="L45" i="42"/>
  <c r="H29" i="44"/>
  <c r="H45" i="42"/>
  <c r="G29" i="44"/>
  <c r="E13" i="44"/>
  <c r="G45" i="42"/>
  <c r="L35" i="45"/>
  <c r="L37" i="45" s="1"/>
  <c r="L49" i="45" s="1"/>
  <c r="I28" i="44"/>
  <c r="L31" i="45"/>
  <c r="L33" i="45" s="1"/>
  <c r="L45" i="45" s="1"/>
  <c r="I44" i="42"/>
  <c r="I15" i="42"/>
  <c r="I16" i="42" s="1"/>
  <c r="R28" i="1"/>
  <c r="L16" i="44"/>
  <c r="O27" i="44"/>
  <c r="O30" i="44" s="1"/>
  <c r="K29" i="44"/>
  <c r="K45" i="42"/>
  <c r="AB37" i="45"/>
  <c r="AB49" i="45" s="1"/>
  <c r="AB33" i="45"/>
  <c r="AB45" i="45" s="1"/>
  <c r="N27" i="44"/>
  <c r="N30" i="44" s="1"/>
  <c r="AH37" i="45"/>
  <c r="AH49" i="45" s="1"/>
  <c r="AH33" i="45"/>
  <c r="AH45" i="45" s="1"/>
  <c r="AC16" i="44"/>
  <c r="AI28" i="1"/>
  <c r="F89" i="42"/>
  <c r="G87" i="42"/>
  <c r="H87" i="42" s="1"/>
  <c r="I87" i="42" s="1"/>
  <c r="J87" i="42" s="1"/>
  <c r="K87" i="42" s="1"/>
  <c r="L87" i="42" s="1"/>
  <c r="M87" i="42" s="1"/>
  <c r="N87" i="42" s="1"/>
  <c r="O87" i="42" s="1"/>
  <c r="P87" i="42" s="1"/>
  <c r="Q87" i="42" s="1"/>
  <c r="R87" i="42" s="1"/>
  <c r="S87" i="42" s="1"/>
  <c r="T87" i="42" s="1"/>
  <c r="U87" i="42" s="1"/>
  <c r="V87" i="42" s="1"/>
  <c r="W87" i="42" s="1"/>
  <c r="X87" i="42" s="1"/>
  <c r="Y87" i="42" s="1"/>
  <c r="Z87" i="42" s="1"/>
  <c r="AA87" i="42" s="1"/>
  <c r="AB87" i="42" s="1"/>
  <c r="AC87" i="42" s="1"/>
  <c r="AD87" i="42" s="1"/>
  <c r="AE87" i="42" s="1"/>
  <c r="H5" i="41"/>
  <c r="I5" i="41" s="1"/>
  <c r="J5" i="41" s="1"/>
  <c r="K5" i="41" s="1"/>
  <c r="L5" i="41" s="1"/>
  <c r="M5" i="41" s="1"/>
  <c r="N5" i="41" s="1"/>
  <c r="O5" i="41" s="1"/>
  <c r="P5" i="41" s="1"/>
  <c r="Q5" i="41" s="1"/>
  <c r="R5" i="41" s="1"/>
  <c r="S5" i="41" s="1"/>
  <c r="T5" i="41" s="1"/>
  <c r="U5" i="41" s="1"/>
  <c r="V5" i="41" s="1"/>
  <c r="W5" i="41" s="1"/>
  <c r="X5" i="41" s="1"/>
  <c r="Y5" i="41" s="1"/>
  <c r="Z5" i="41" s="1"/>
  <c r="AA5" i="41" s="1"/>
  <c r="AB5" i="41" s="1"/>
  <c r="AC5" i="41" s="1"/>
  <c r="AD5" i="41" s="1"/>
  <c r="AE5" i="41" s="1"/>
  <c r="K15" i="42"/>
  <c r="K16" i="42" s="1"/>
  <c r="N31" i="45"/>
  <c r="N33" i="45" s="1"/>
  <c r="N45" i="45" s="1"/>
  <c r="K44" i="42"/>
  <c r="N35" i="45"/>
  <c r="N37" i="45" s="1"/>
  <c r="N49" i="45" s="1"/>
  <c r="K28" i="44"/>
  <c r="P29" i="44"/>
  <c r="P45" i="42"/>
  <c r="U28" i="1"/>
  <c r="O16" i="44"/>
  <c r="K27" i="44"/>
  <c r="K30" i="44" s="1"/>
  <c r="J31" i="45"/>
  <c r="J33" i="45" s="1"/>
  <c r="J45" i="45" s="1"/>
  <c r="J47" i="45" s="1"/>
  <c r="G44" i="42"/>
  <c r="J35" i="45"/>
  <c r="J37" i="45" s="1"/>
  <c r="J49" i="45" s="1"/>
  <c r="J51" i="45" s="1"/>
  <c r="G28" i="44"/>
  <c r="G15" i="42"/>
  <c r="G16" i="42" s="1"/>
  <c r="F41" i="43"/>
  <c r="J29" i="44"/>
  <c r="J45" i="42"/>
  <c r="Y27" i="44"/>
  <c r="Y30" i="44" s="1"/>
  <c r="AC27" i="44"/>
  <c r="AC30" i="44" s="1"/>
  <c r="H28" i="44"/>
  <c r="K35" i="45"/>
  <c r="K37" i="45" s="1"/>
  <c r="K49" i="45" s="1"/>
  <c r="K31" i="45"/>
  <c r="K33" i="45" s="1"/>
  <c r="K45" i="45" s="1"/>
  <c r="H15" i="42"/>
  <c r="H16" i="42" s="1"/>
  <c r="H44" i="42"/>
  <c r="AF37" i="45"/>
  <c r="AF49" i="45" s="1"/>
  <c r="AF33" i="45"/>
  <c r="AF45" i="45" s="1"/>
  <c r="J27" i="44"/>
  <c r="J30" i="44" s="1"/>
  <c r="H30" i="44"/>
  <c r="AD37" i="45"/>
  <c r="AD49" i="45" s="1"/>
  <c r="AD33" i="45"/>
  <c r="AD45" i="45" s="1"/>
  <c r="P28" i="1"/>
  <c r="J16" i="44"/>
  <c r="AB16" i="44"/>
  <c r="AH28" i="1"/>
  <c r="AE28" i="1"/>
  <c r="Y16" i="44"/>
  <c r="AG37" i="45"/>
  <c r="AG49" i="45" s="1"/>
  <c r="AG33" i="45"/>
  <c r="AG45" i="45" s="1"/>
  <c r="Q27" i="44"/>
  <c r="Q30" i="44" s="1"/>
  <c r="Z27" i="44"/>
  <c r="Z30" i="44" s="1"/>
  <c r="P27" i="44"/>
  <c r="P30" i="44" s="1"/>
  <c r="M44" i="42"/>
  <c r="M15" i="42"/>
  <c r="M16" i="42" s="1"/>
  <c r="M28" i="44"/>
  <c r="P35" i="45"/>
  <c r="P37" i="45" s="1"/>
  <c r="P49" i="45" s="1"/>
  <c r="P31" i="45"/>
  <c r="P33" i="45" s="1"/>
  <c r="P45" i="45" s="1"/>
  <c r="L44" i="42"/>
  <c r="L28" i="44"/>
  <c r="O31" i="45"/>
  <c r="O33" i="45" s="1"/>
  <c r="O45" i="45" s="1"/>
  <c r="O35" i="45"/>
  <c r="O37" i="45" s="1"/>
  <c r="O49" i="45" s="1"/>
  <c r="L15" i="42"/>
  <c r="L16" i="42" s="1"/>
  <c r="M31" i="45"/>
  <c r="M33" i="45" s="1"/>
  <c r="M45" i="45" s="1"/>
  <c r="J28" i="44"/>
  <c r="J15" i="42"/>
  <c r="J16" i="42" s="1"/>
  <c r="J44" i="42"/>
  <c r="M35" i="45"/>
  <c r="M37" i="45" s="1"/>
  <c r="M49" i="45" s="1"/>
  <c r="Q16" i="44"/>
  <c r="W28" i="1"/>
  <c r="W16" i="44"/>
  <c r="AC28" i="1"/>
  <c r="W30" i="44"/>
  <c r="F34" i="41" l="1"/>
  <c r="K41" i="45"/>
  <c r="K46" i="45" s="1"/>
  <c r="K47" i="45" s="1"/>
  <c r="J54" i="45"/>
  <c r="G33" i="42" s="1"/>
  <c r="M46" i="42"/>
  <c r="M56" i="42"/>
  <c r="M18" i="44" s="1"/>
  <c r="N56" i="42"/>
  <c r="N18" i="44" s="1"/>
  <c r="N46" i="42"/>
  <c r="O56" i="42"/>
  <c r="O18" i="44" s="1"/>
  <c r="O46" i="42"/>
  <c r="P46" i="42"/>
  <c r="P56" i="42"/>
  <c r="P18" i="44" s="1"/>
  <c r="H17" i="44"/>
  <c r="G82" i="42"/>
  <c r="F54" i="43"/>
  <c r="F44" i="43"/>
  <c r="G45" i="43" s="1"/>
  <c r="G42" i="43"/>
  <c r="K28" i="1"/>
  <c r="Y29" i="49" s="1"/>
  <c r="J56" i="42"/>
  <c r="J18" i="44" s="1"/>
  <c r="J46" i="42"/>
  <c r="K42" i="45"/>
  <c r="K50" i="45" s="1"/>
  <c r="K51" i="45" s="1"/>
  <c r="J55" i="45"/>
  <c r="I56" i="42"/>
  <c r="I18" i="44" s="1"/>
  <c r="I46" i="42"/>
  <c r="F91" i="42"/>
  <c r="F95" i="42" s="1"/>
  <c r="F94" i="42" s="1"/>
  <c r="L56" i="42"/>
  <c r="L18" i="44" s="1"/>
  <c r="L46" i="42"/>
  <c r="H46" i="42"/>
  <c r="H56" i="42"/>
  <c r="H18" i="44" s="1"/>
  <c r="G46" i="42"/>
  <c r="G56" i="42"/>
  <c r="K56" i="42"/>
  <c r="K18" i="44" s="1"/>
  <c r="K46" i="42"/>
  <c r="I17" i="44" l="1"/>
  <c r="H82" i="42"/>
  <c r="G26" i="43"/>
  <c r="G29" i="43"/>
  <c r="G18" i="44"/>
  <c r="E22" i="44" s="1"/>
  <c r="E60" i="42"/>
  <c r="G18" i="42"/>
  <c r="G19" i="42" s="1"/>
  <c r="G24" i="42" s="1"/>
  <c r="J56" i="45"/>
  <c r="G57" i="42"/>
  <c r="M30" i="1"/>
  <c r="G36" i="42"/>
  <c r="K55" i="45"/>
  <c r="L42" i="45"/>
  <c r="L50" i="45" s="1"/>
  <c r="L51" i="45" s="1"/>
  <c r="F56" i="43"/>
  <c r="L41" i="45"/>
  <c r="L46" i="45" s="1"/>
  <c r="L47" i="45" s="1"/>
  <c r="K54" i="45"/>
  <c r="H33" i="42" s="1"/>
  <c r="N30" i="1" l="1"/>
  <c r="N34" i="1" s="1"/>
  <c r="H36" i="42"/>
  <c r="H57" i="42"/>
  <c r="H19" i="44" s="1"/>
  <c r="J57" i="45"/>
  <c r="M42" i="45"/>
  <c r="M50" i="45" s="1"/>
  <c r="M51" i="45" s="1"/>
  <c r="L55" i="45"/>
  <c r="H9" i="40"/>
  <c r="G49" i="42"/>
  <c r="H35" i="40" s="1"/>
  <c r="H39" i="40" s="1"/>
  <c r="L54" i="45"/>
  <c r="I33" i="42" s="1"/>
  <c r="M41" i="45"/>
  <c r="M46" i="45" s="1"/>
  <c r="M47" i="45" s="1"/>
  <c r="G31" i="43"/>
  <c r="G33" i="43" s="1"/>
  <c r="M34" i="1"/>
  <c r="H18" i="42"/>
  <c r="H19" i="42" s="1"/>
  <c r="H24" i="42" s="1"/>
  <c r="K56" i="45"/>
  <c r="K57" i="45" s="1"/>
  <c r="G19" i="44"/>
  <c r="J17" i="44"/>
  <c r="I82" i="42"/>
  <c r="N42" i="45" l="1"/>
  <c r="N50" i="45" s="1"/>
  <c r="N51" i="45" s="1"/>
  <c r="M55" i="45"/>
  <c r="N41" i="45"/>
  <c r="N46" i="45" s="1"/>
  <c r="N47" i="45" s="1"/>
  <c r="M54" i="45"/>
  <c r="J33" i="42" s="1"/>
  <c r="G74" i="42"/>
  <c r="G83" i="42"/>
  <c r="G84" i="42" s="1"/>
  <c r="H18" i="40"/>
  <c r="H16" i="40"/>
  <c r="G55" i="43"/>
  <c r="G49" i="43"/>
  <c r="G50" i="43"/>
  <c r="K17" i="44"/>
  <c r="J82" i="42"/>
  <c r="O30" i="1"/>
  <c r="I36" i="42"/>
  <c r="I57" i="42"/>
  <c r="I19" i="44" s="1"/>
  <c r="H49" i="42"/>
  <c r="I9" i="40"/>
  <c r="H74" i="42"/>
  <c r="H83" i="42"/>
  <c r="H84" i="42" s="1"/>
  <c r="I18" i="42"/>
  <c r="I19" i="42" s="1"/>
  <c r="I24" i="42" s="1"/>
  <c r="L56" i="45"/>
  <c r="H22" i="40"/>
  <c r="G50" i="42"/>
  <c r="G51" i="42" s="1"/>
  <c r="G54" i="42" s="1"/>
  <c r="G25" i="42"/>
  <c r="G26" i="42" s="1"/>
  <c r="H30" i="40" l="1"/>
  <c r="H28" i="40"/>
  <c r="P30" i="1"/>
  <c r="P34" i="1" s="1"/>
  <c r="J36" i="42"/>
  <c r="J57" i="42"/>
  <c r="J19" i="44" s="1"/>
  <c r="N54" i="45"/>
  <c r="K33" i="42" s="1"/>
  <c r="O41" i="45"/>
  <c r="O46" i="45" s="1"/>
  <c r="O47" i="45" s="1"/>
  <c r="G58" i="43"/>
  <c r="L57" i="45"/>
  <c r="I18" i="40"/>
  <c r="I16" i="40"/>
  <c r="O34" i="1"/>
  <c r="K82" i="42"/>
  <c r="L17" i="44"/>
  <c r="G37" i="43"/>
  <c r="G88" i="42"/>
  <c r="G89" i="42" s="1"/>
  <c r="G91" i="42" s="1"/>
  <c r="H23" i="42"/>
  <c r="G54" i="43"/>
  <c r="M56" i="45"/>
  <c r="M57" i="45" s="1"/>
  <c r="J18" i="42"/>
  <c r="J19" i="42" s="1"/>
  <c r="J24" i="42" s="1"/>
  <c r="H53" i="42"/>
  <c r="I35" i="40" s="1"/>
  <c r="I39" i="40" s="1"/>
  <c r="G75" i="42"/>
  <c r="G93" i="42" s="1"/>
  <c r="J9" i="40"/>
  <c r="I49" i="42"/>
  <c r="G36" i="43"/>
  <c r="G51" i="43"/>
  <c r="O42" i="45"/>
  <c r="O50" i="45" s="1"/>
  <c r="O51" i="45" s="1"/>
  <c r="N55" i="45"/>
  <c r="Q30" i="1" l="1"/>
  <c r="K36" i="42"/>
  <c r="K57" i="42"/>
  <c r="K19" i="44" s="1"/>
  <c r="H25" i="42"/>
  <c r="H26" i="42" s="1"/>
  <c r="I22" i="40"/>
  <c r="H50" i="42"/>
  <c r="H51" i="42" s="1"/>
  <c r="H54" i="42" s="1"/>
  <c r="N56" i="45"/>
  <c r="N57" i="45" s="1"/>
  <c r="K18" i="42"/>
  <c r="K19" i="42" s="1"/>
  <c r="K24" i="42" s="1"/>
  <c r="M17" i="44"/>
  <c r="L82" i="42"/>
  <c r="P42" i="45"/>
  <c r="P50" i="45" s="1"/>
  <c r="P51" i="45" s="1"/>
  <c r="O55" i="45"/>
  <c r="J49" i="42"/>
  <c r="K9" i="40"/>
  <c r="P41" i="45"/>
  <c r="P46" i="45" s="1"/>
  <c r="P47" i="45" s="1"/>
  <c r="O54" i="45"/>
  <c r="L33" i="42" s="1"/>
  <c r="J83" i="42"/>
  <c r="J84" i="42" s="1"/>
  <c r="J74" i="42"/>
  <c r="G56" i="43"/>
  <c r="G38" i="43"/>
  <c r="G41" i="43"/>
  <c r="J16" i="40"/>
  <c r="J18" i="40"/>
  <c r="I83" i="42"/>
  <c r="I84" i="42" s="1"/>
  <c r="I74" i="42"/>
  <c r="G76" i="42"/>
  <c r="G95" i="42" s="1"/>
  <c r="G94" i="42" s="1"/>
  <c r="K74" i="42" l="1"/>
  <c r="K83" i="42"/>
  <c r="K84" i="42" s="1"/>
  <c r="Q41" i="45"/>
  <c r="Q46" i="45" s="1"/>
  <c r="Q47" i="45" s="1"/>
  <c r="P54" i="45"/>
  <c r="M33" i="42" s="1"/>
  <c r="H88" i="42"/>
  <c r="H89" i="42" s="1"/>
  <c r="H91" i="42" s="1"/>
  <c r="I23" i="42"/>
  <c r="R30" i="1"/>
  <c r="R34" i="1" s="1"/>
  <c r="L36" i="42"/>
  <c r="L57" i="42"/>
  <c r="K18" i="40"/>
  <c r="K16" i="40"/>
  <c r="M82" i="42"/>
  <c r="N17" i="44"/>
  <c r="H75" i="42"/>
  <c r="I53" i="42"/>
  <c r="J35" i="40" s="1"/>
  <c r="J39" i="40" s="1"/>
  <c r="L18" i="42"/>
  <c r="L19" i="42" s="1"/>
  <c r="L24" i="42" s="1"/>
  <c r="O56" i="45"/>
  <c r="O57" i="45" s="1"/>
  <c r="K49" i="42"/>
  <c r="L9" i="40"/>
  <c r="I28" i="40"/>
  <c r="I30" i="40"/>
  <c r="H42" i="43"/>
  <c r="G44" i="43"/>
  <c r="H45" i="43" s="1"/>
  <c r="P55" i="45"/>
  <c r="Q42" i="45"/>
  <c r="Q50" i="45" s="1"/>
  <c r="Q51" i="45" s="1"/>
  <c r="Q34" i="1"/>
  <c r="L83" i="42" l="1"/>
  <c r="L84" i="42" s="1"/>
  <c r="L74" i="42"/>
  <c r="L19" i="44"/>
  <c r="I25" i="42"/>
  <c r="I26" i="42" s="1"/>
  <c r="I50" i="42"/>
  <c r="I51" i="42" s="1"/>
  <c r="I54" i="42" s="1"/>
  <c r="J22" i="40"/>
  <c r="H93" i="42"/>
  <c r="H76" i="42"/>
  <c r="H95" i="42" s="1"/>
  <c r="H94" i="42" s="1"/>
  <c r="S30" i="1"/>
  <c r="S34" i="1" s="1"/>
  <c r="M36" i="42"/>
  <c r="M57" i="42"/>
  <c r="M19" i="44" s="1"/>
  <c r="P56" i="45"/>
  <c r="P57" i="45" s="1"/>
  <c r="M18" i="42"/>
  <c r="M19" i="42" s="1"/>
  <c r="M24" i="42" s="1"/>
  <c r="Q54" i="45"/>
  <c r="N33" i="42" s="1"/>
  <c r="R41" i="45"/>
  <c r="R46" i="45" s="1"/>
  <c r="R47" i="45" s="1"/>
  <c r="Q55" i="45"/>
  <c r="R42" i="45"/>
  <c r="R50" i="45" s="1"/>
  <c r="R51" i="45" s="1"/>
  <c r="H29" i="43"/>
  <c r="H26" i="43"/>
  <c r="M9" i="40"/>
  <c r="L49" i="42"/>
  <c r="O17" i="44"/>
  <c r="N82" i="42"/>
  <c r="L16" i="40"/>
  <c r="L18" i="40"/>
  <c r="S42" i="45" l="1"/>
  <c r="S50" i="45" s="1"/>
  <c r="S51" i="45" s="1"/>
  <c r="R55" i="45"/>
  <c r="R54" i="45"/>
  <c r="O33" i="42" s="1"/>
  <c r="S41" i="45"/>
  <c r="S46" i="45" s="1"/>
  <c r="S47" i="45" s="1"/>
  <c r="P17" i="44"/>
  <c r="O82" i="42"/>
  <c r="M16" i="40"/>
  <c r="M18" i="40"/>
  <c r="M83" i="42"/>
  <c r="M84" i="42" s="1"/>
  <c r="M74" i="42"/>
  <c r="J53" i="42"/>
  <c r="K35" i="40" s="1"/>
  <c r="K39" i="40" s="1"/>
  <c r="I75" i="42"/>
  <c r="J28" i="40"/>
  <c r="J30" i="40"/>
  <c r="I88" i="42"/>
  <c r="I89" i="42" s="1"/>
  <c r="I91" i="42" s="1"/>
  <c r="J23" i="42"/>
  <c r="H31" i="43"/>
  <c r="H33" i="43" s="1"/>
  <c r="N9" i="40"/>
  <c r="M49" i="42"/>
  <c r="N18" i="42"/>
  <c r="N19" i="42" s="1"/>
  <c r="N24" i="42" s="1"/>
  <c r="Q56" i="45"/>
  <c r="Q57" i="45" s="1"/>
  <c r="T30" i="1"/>
  <c r="N36" i="42"/>
  <c r="N57" i="42"/>
  <c r="N19" i="44" s="1"/>
  <c r="Q17" i="44" l="1"/>
  <c r="P82" i="42"/>
  <c r="N49" i="42"/>
  <c r="O9" i="40"/>
  <c r="S54" i="45"/>
  <c r="P33" i="42" s="1"/>
  <c r="T41" i="45"/>
  <c r="T46" i="45" s="1"/>
  <c r="T47" i="45" s="1"/>
  <c r="N18" i="40"/>
  <c r="N16" i="40"/>
  <c r="N74" i="42"/>
  <c r="N83" i="42"/>
  <c r="N84" i="42" s="1"/>
  <c r="I93" i="42"/>
  <c r="I76" i="42"/>
  <c r="I95" i="42" s="1"/>
  <c r="I94" i="42" s="1"/>
  <c r="R56" i="45"/>
  <c r="R57" i="45" s="1"/>
  <c r="O18" i="42"/>
  <c r="O19" i="42" s="1"/>
  <c r="O24" i="42" s="1"/>
  <c r="H55" i="43"/>
  <c r="H49" i="43"/>
  <c r="H50" i="43"/>
  <c r="T34" i="1"/>
  <c r="U30" i="1"/>
  <c r="U34" i="1" s="1"/>
  <c r="O36" i="42"/>
  <c r="O57" i="42"/>
  <c r="O19" i="44" s="1"/>
  <c r="K22" i="40"/>
  <c r="J50" i="42"/>
  <c r="J51" i="42" s="1"/>
  <c r="J54" i="42" s="1"/>
  <c r="J25" i="42"/>
  <c r="J26" i="42" s="1"/>
  <c r="T42" i="45"/>
  <c r="T50" i="45" s="1"/>
  <c r="T51" i="45" s="1"/>
  <c r="S55" i="45"/>
  <c r="K23" i="42" l="1"/>
  <c r="J88" i="42"/>
  <c r="J89" i="42" s="1"/>
  <c r="J91" i="42" s="1"/>
  <c r="O18" i="40"/>
  <c r="O16" i="40"/>
  <c r="K53" i="42"/>
  <c r="L35" i="40" s="1"/>
  <c r="L39" i="40" s="1"/>
  <c r="J75" i="42"/>
  <c r="V30" i="1"/>
  <c r="V34" i="1" s="1"/>
  <c r="P36" i="42"/>
  <c r="P57" i="42"/>
  <c r="O83" i="42"/>
  <c r="O84" i="42" s="1"/>
  <c r="O74" i="42"/>
  <c r="U42" i="45"/>
  <c r="U50" i="45" s="1"/>
  <c r="U51" i="45" s="1"/>
  <c r="T55" i="45"/>
  <c r="H37" i="43"/>
  <c r="K28" i="40"/>
  <c r="K30" i="40"/>
  <c r="U41" i="45"/>
  <c r="U46" i="45" s="1"/>
  <c r="U47" i="45" s="1"/>
  <c r="T54" i="45"/>
  <c r="Q33" i="42" s="1"/>
  <c r="R17" i="44"/>
  <c r="Q82" i="42"/>
  <c r="P18" i="42"/>
  <c r="P19" i="42" s="1"/>
  <c r="P24" i="42" s="1"/>
  <c r="S56" i="45"/>
  <c r="S57" i="45" s="1"/>
  <c r="H36" i="43"/>
  <c r="H51" i="43"/>
  <c r="H54" i="43"/>
  <c r="H58" i="43"/>
  <c r="O49" i="42"/>
  <c r="P9" i="40"/>
  <c r="R82" i="42" l="1"/>
  <c r="S17" i="44"/>
  <c r="P19" i="44"/>
  <c r="E23" i="44" s="1"/>
  <c r="E61" i="42"/>
  <c r="H56" i="43"/>
  <c r="V41" i="45"/>
  <c r="V46" i="45" s="1"/>
  <c r="V47" i="45" s="1"/>
  <c r="U54" i="45"/>
  <c r="R33" i="42" s="1"/>
  <c r="P49" i="42"/>
  <c r="Q9" i="40"/>
  <c r="W30" i="1"/>
  <c r="W34" i="1" s="1"/>
  <c r="Q36" i="42"/>
  <c r="H38" i="43"/>
  <c r="H41" i="43"/>
  <c r="K25" i="42"/>
  <c r="K26" i="42" s="1"/>
  <c r="K50" i="42"/>
  <c r="K51" i="42" s="1"/>
  <c r="K54" i="42" s="1"/>
  <c r="L22" i="40"/>
  <c r="J93" i="42"/>
  <c r="J76" i="42"/>
  <c r="J95" i="42" s="1"/>
  <c r="J94" i="42" s="1"/>
  <c r="P83" i="42"/>
  <c r="P84" i="42" s="1"/>
  <c r="P74" i="42"/>
  <c r="Q18" i="42"/>
  <c r="Q19" i="42" s="1"/>
  <c r="Q24" i="42" s="1"/>
  <c r="T56" i="45"/>
  <c r="T57" i="45" s="1"/>
  <c r="P16" i="40"/>
  <c r="P18" i="40"/>
  <c r="V42" i="45"/>
  <c r="V50" i="45" s="1"/>
  <c r="V51" i="45" s="1"/>
  <c r="U55" i="45"/>
  <c r="Q49" i="42" l="1"/>
  <c r="R9" i="40"/>
  <c r="Q18" i="40"/>
  <c r="Q16" i="40"/>
  <c r="Q74" i="42"/>
  <c r="Q83" i="42"/>
  <c r="Q84" i="42" s="1"/>
  <c r="L23" i="42"/>
  <c r="K88" i="42"/>
  <c r="K89" i="42" s="1"/>
  <c r="K91" i="42" s="1"/>
  <c r="S82" i="42"/>
  <c r="T17" i="44"/>
  <c r="L30" i="40"/>
  <c r="L28" i="40"/>
  <c r="I42" i="43"/>
  <c r="H44" i="43"/>
  <c r="I45" i="43" s="1"/>
  <c r="K75" i="42"/>
  <c r="L53" i="42"/>
  <c r="M35" i="40" s="1"/>
  <c r="M39" i="40" s="1"/>
  <c r="X30" i="1"/>
  <c r="X34" i="1" s="1"/>
  <c r="R36" i="42"/>
  <c r="R18" i="42"/>
  <c r="R19" i="42" s="1"/>
  <c r="R24" i="42" s="1"/>
  <c r="U56" i="45"/>
  <c r="U57" i="45" s="1"/>
  <c r="W42" i="45"/>
  <c r="W50" i="45" s="1"/>
  <c r="W51" i="45" s="1"/>
  <c r="V55" i="45"/>
  <c r="W41" i="45"/>
  <c r="W46" i="45" s="1"/>
  <c r="W47" i="45" s="1"/>
  <c r="V54" i="45"/>
  <c r="S33" i="42" s="1"/>
  <c r="M22" i="40" l="1"/>
  <c r="L25" i="42"/>
  <c r="L26" i="42" s="1"/>
  <c r="L50" i="42"/>
  <c r="L51" i="42" s="1"/>
  <c r="L54" i="42" s="1"/>
  <c r="R74" i="42"/>
  <c r="R83" i="42"/>
  <c r="R84" i="42" s="1"/>
  <c r="T82" i="42"/>
  <c r="U17" i="44"/>
  <c r="S9" i="40"/>
  <c r="R49" i="42"/>
  <c r="Y30" i="1"/>
  <c r="Y34" i="1" s="1"/>
  <c r="S36" i="42"/>
  <c r="K93" i="42"/>
  <c r="K76" i="42"/>
  <c r="K95" i="42" s="1"/>
  <c r="K94" i="42" s="1"/>
  <c r="W54" i="45"/>
  <c r="T33" i="42" s="1"/>
  <c r="X41" i="45"/>
  <c r="X46" i="45" s="1"/>
  <c r="X47" i="45" s="1"/>
  <c r="I29" i="43"/>
  <c r="I26" i="43"/>
  <c r="V56" i="45"/>
  <c r="V57" i="45" s="1"/>
  <c r="S18" i="42"/>
  <c r="S19" i="42" s="1"/>
  <c r="S24" i="42" s="1"/>
  <c r="R16" i="40"/>
  <c r="R18" i="40"/>
  <c r="W55" i="45"/>
  <c r="X42" i="45"/>
  <c r="X50" i="45" s="1"/>
  <c r="X51" i="45" s="1"/>
  <c r="I31" i="43" l="1"/>
  <c r="I33" i="43" s="1"/>
  <c r="I50" i="43" s="1"/>
  <c r="U82" i="42"/>
  <c r="V17" i="44"/>
  <c r="W56" i="45"/>
  <c r="W57" i="45" s="1"/>
  <c r="T18" i="42"/>
  <c r="T19" i="42" s="1"/>
  <c r="T24" i="42" s="1"/>
  <c r="S16" i="40"/>
  <c r="S18" i="40"/>
  <c r="Y41" i="45"/>
  <c r="Y46" i="45" s="1"/>
  <c r="Y47" i="45" s="1"/>
  <c r="X54" i="45"/>
  <c r="U33" i="42" s="1"/>
  <c r="L75" i="42"/>
  <c r="M53" i="42"/>
  <c r="N35" i="40" s="1"/>
  <c r="N39" i="40" s="1"/>
  <c r="I55" i="43"/>
  <c r="I54" i="43" s="1"/>
  <c r="X55" i="45"/>
  <c r="Y42" i="45"/>
  <c r="Y50" i="45" s="1"/>
  <c r="Y51" i="45" s="1"/>
  <c r="Z30" i="1"/>
  <c r="Z34" i="1" s="1"/>
  <c r="T36" i="42"/>
  <c r="M23" i="42"/>
  <c r="L88" i="42"/>
  <c r="L89" i="42" s="1"/>
  <c r="L91" i="42" s="1"/>
  <c r="S83" i="42"/>
  <c r="S84" i="42" s="1"/>
  <c r="S74" i="42"/>
  <c r="T9" i="40"/>
  <c r="S49" i="42"/>
  <c r="M30" i="40"/>
  <c r="M28" i="40"/>
  <c r="I49" i="43" l="1"/>
  <c r="Y55" i="45"/>
  <c r="Z42" i="45"/>
  <c r="Z50" i="45" s="1"/>
  <c r="Z51" i="45" s="1"/>
  <c r="AA30" i="1"/>
  <c r="AA34" i="1" s="1"/>
  <c r="U36" i="42"/>
  <c r="L93" i="42"/>
  <c r="L76" i="42"/>
  <c r="L95" i="42" s="1"/>
  <c r="L94" i="42" s="1"/>
  <c r="I56" i="43"/>
  <c r="U18" i="42"/>
  <c r="U19" i="42" s="1"/>
  <c r="U24" i="42" s="1"/>
  <c r="X56" i="45"/>
  <c r="X57" i="45" s="1"/>
  <c r="Z41" i="45"/>
  <c r="Z46" i="45" s="1"/>
  <c r="Z47" i="45" s="1"/>
  <c r="Y54" i="45"/>
  <c r="V33" i="42" s="1"/>
  <c r="T16" i="40"/>
  <c r="T18" i="40"/>
  <c r="I36" i="43"/>
  <c r="I51" i="43"/>
  <c r="I58" i="43"/>
  <c r="T83" i="42"/>
  <c r="T84" i="42" s="1"/>
  <c r="T74" i="42"/>
  <c r="I37" i="43"/>
  <c r="W17" i="44"/>
  <c r="V82" i="42"/>
  <c r="U9" i="40"/>
  <c r="T49" i="42"/>
  <c r="M50" i="42"/>
  <c r="M51" i="42" s="1"/>
  <c r="M54" i="42" s="1"/>
  <c r="M25" i="42"/>
  <c r="M26" i="42" s="1"/>
  <c r="N22" i="40"/>
  <c r="U74" i="42" l="1"/>
  <c r="U83" i="42"/>
  <c r="U84" i="42" s="1"/>
  <c r="AB30" i="1"/>
  <c r="AB34" i="1" s="1"/>
  <c r="V36" i="42"/>
  <c r="Y56" i="45"/>
  <c r="Y57" i="45" s="1"/>
  <c r="V18" i="42"/>
  <c r="V19" i="42" s="1"/>
  <c r="V24" i="42" s="1"/>
  <c r="M88" i="42"/>
  <c r="M89" i="42" s="1"/>
  <c r="M91" i="42" s="1"/>
  <c r="N23" i="42"/>
  <c r="I38" i="43"/>
  <c r="I41" i="43"/>
  <c r="AA42" i="45"/>
  <c r="AA50" i="45" s="1"/>
  <c r="AA51" i="45" s="1"/>
  <c r="Z55" i="45"/>
  <c r="N28" i="40"/>
  <c r="N30" i="40"/>
  <c r="U18" i="40"/>
  <c r="U16" i="40"/>
  <c r="V9" i="40"/>
  <c r="U49" i="42"/>
  <c r="Z54" i="45"/>
  <c r="W33" i="42" s="1"/>
  <c r="AA41" i="45"/>
  <c r="AA46" i="45" s="1"/>
  <c r="AA47" i="45" s="1"/>
  <c r="M75" i="42"/>
  <c r="N53" i="42"/>
  <c r="O35" i="40" s="1"/>
  <c r="O39" i="40" s="1"/>
  <c r="X17" i="44"/>
  <c r="W82" i="42"/>
  <c r="Y17" i="44" l="1"/>
  <c r="X82" i="42"/>
  <c r="N25" i="42"/>
  <c r="N26" i="42" s="1"/>
  <c r="O22" i="40"/>
  <c r="N50" i="42"/>
  <c r="N51" i="42" s="1"/>
  <c r="N54" i="42" s="1"/>
  <c r="W18" i="42"/>
  <c r="W19" i="42" s="1"/>
  <c r="W24" i="42" s="1"/>
  <c r="Z56" i="45"/>
  <c r="Z57" i="45" s="1"/>
  <c r="J42" i="43"/>
  <c r="I44" i="43"/>
  <c r="J45" i="43" s="1"/>
  <c r="M93" i="42"/>
  <c r="M76" i="42"/>
  <c r="M95" i="42" s="1"/>
  <c r="M94" i="42" s="1"/>
  <c r="AB42" i="45"/>
  <c r="AB50" i="45" s="1"/>
  <c r="AB51" i="45" s="1"/>
  <c r="AA55" i="45"/>
  <c r="V74" i="42"/>
  <c r="V83" i="42"/>
  <c r="V84" i="42" s="1"/>
  <c r="AB41" i="45"/>
  <c r="AB46" i="45" s="1"/>
  <c r="AB47" i="45" s="1"/>
  <c r="AA54" i="45"/>
  <c r="X33" i="42" s="1"/>
  <c r="V49" i="42"/>
  <c r="W9" i="40"/>
  <c r="AC30" i="1"/>
  <c r="AC34" i="1" s="1"/>
  <c r="W36" i="42"/>
  <c r="V18" i="40"/>
  <c r="V16" i="40"/>
  <c r="J29" i="43" l="1"/>
  <c r="AD30" i="1"/>
  <c r="AD34" i="1" s="1"/>
  <c r="X36" i="42"/>
  <c r="J26" i="43"/>
  <c r="O28" i="40"/>
  <c r="O30" i="40"/>
  <c r="W16" i="40"/>
  <c r="W18" i="40"/>
  <c r="W83" i="42"/>
  <c r="W84" i="42" s="1"/>
  <c r="W74" i="42"/>
  <c r="AC41" i="45"/>
  <c r="AC46" i="45" s="1"/>
  <c r="AC47" i="45" s="1"/>
  <c r="AB54" i="45"/>
  <c r="Y33" i="42" s="1"/>
  <c r="O53" i="42"/>
  <c r="P35" i="40" s="1"/>
  <c r="P39" i="40" s="1"/>
  <c r="N75" i="42"/>
  <c r="X18" i="42"/>
  <c r="X19" i="42" s="1"/>
  <c r="X24" i="42" s="1"/>
  <c r="AA56" i="45"/>
  <c r="AA57" i="45" s="1"/>
  <c r="N88" i="42"/>
  <c r="N89" i="42" s="1"/>
  <c r="N91" i="42" s="1"/>
  <c r="O23" i="42"/>
  <c r="AB55" i="45"/>
  <c r="AC42" i="45"/>
  <c r="AC50" i="45" s="1"/>
  <c r="AC51" i="45" s="1"/>
  <c r="W49" i="42"/>
  <c r="X9" i="40"/>
  <c r="Y82" i="42"/>
  <c r="Z17" i="44"/>
  <c r="J31" i="43" l="1"/>
  <c r="J33" i="43" s="1"/>
  <c r="J50" i="43" s="1"/>
  <c r="J55" i="43"/>
  <c r="O25" i="42"/>
  <c r="O26" i="42" s="1"/>
  <c r="O50" i="42"/>
  <c r="O51" i="42" s="1"/>
  <c r="O54" i="42" s="1"/>
  <c r="P22" i="40"/>
  <c r="X49" i="42"/>
  <c r="Y9" i="40"/>
  <c r="AE30" i="1"/>
  <c r="AE34" i="1" s="1"/>
  <c r="Y36" i="42"/>
  <c r="AC55" i="45"/>
  <c r="AD42" i="45"/>
  <c r="AD50" i="45" s="1"/>
  <c r="AD51" i="45" s="1"/>
  <c r="X74" i="42"/>
  <c r="X83" i="42"/>
  <c r="X84" i="42" s="1"/>
  <c r="AA17" i="44"/>
  <c r="Z82" i="42"/>
  <c r="N93" i="42"/>
  <c r="N76" i="42"/>
  <c r="N95" i="42" s="1"/>
  <c r="N94" i="42" s="1"/>
  <c r="X18" i="40"/>
  <c r="X16" i="40"/>
  <c r="AD41" i="45"/>
  <c r="AD46" i="45" s="1"/>
  <c r="AD47" i="45" s="1"/>
  <c r="AC54" i="45"/>
  <c r="Z33" i="42" s="1"/>
  <c r="Y18" i="42"/>
  <c r="Y19" i="42" s="1"/>
  <c r="Y24" i="42" s="1"/>
  <c r="AB56" i="45"/>
  <c r="AB57" i="45" s="1"/>
  <c r="J49" i="43" l="1"/>
  <c r="Y16" i="40"/>
  <c r="Y18" i="40"/>
  <c r="AB17" i="44"/>
  <c r="AA82" i="42"/>
  <c r="O88" i="42"/>
  <c r="O89" i="42" s="1"/>
  <c r="O91" i="42" s="1"/>
  <c r="P23" i="42"/>
  <c r="Y74" i="42"/>
  <c r="Y83" i="42"/>
  <c r="Y84" i="42" s="1"/>
  <c r="P53" i="42"/>
  <c r="Q35" i="40" s="1"/>
  <c r="Q39" i="40" s="1"/>
  <c r="O75" i="42"/>
  <c r="J51" i="43"/>
  <c r="J36" i="43"/>
  <c r="P28" i="40"/>
  <c r="P30" i="40"/>
  <c r="AF30" i="1"/>
  <c r="AF34" i="1" s="1"/>
  <c r="Z36" i="42"/>
  <c r="AD54" i="45"/>
  <c r="AA33" i="42" s="1"/>
  <c r="AE41" i="45"/>
  <c r="AE46" i="45" s="1"/>
  <c r="AE47" i="45" s="1"/>
  <c r="J54" i="43"/>
  <c r="J58" i="43"/>
  <c r="AE42" i="45"/>
  <c r="AE50" i="45" s="1"/>
  <c r="AE51" i="45" s="1"/>
  <c r="AD55" i="45"/>
  <c r="AC56" i="45"/>
  <c r="AC57" i="45" s="1"/>
  <c r="Z18" i="42"/>
  <c r="Z19" i="42" s="1"/>
  <c r="Z24" i="42" s="1"/>
  <c r="Y49" i="42"/>
  <c r="Z9" i="40"/>
  <c r="J37" i="43"/>
  <c r="AF41" i="45" l="1"/>
  <c r="AF46" i="45" s="1"/>
  <c r="AF47" i="45" s="1"/>
  <c r="AE54" i="45"/>
  <c r="AB33" i="42" s="1"/>
  <c r="O93" i="42"/>
  <c r="O76" i="42"/>
  <c r="O95" i="42" s="1"/>
  <c r="O94" i="42" s="1"/>
  <c r="AG30" i="1"/>
  <c r="AG34" i="1" s="1"/>
  <c r="AA36" i="42"/>
  <c r="P25" i="42"/>
  <c r="P26" i="42" s="1"/>
  <c r="Q22" i="40"/>
  <c r="P50" i="42"/>
  <c r="P51" i="42" s="1"/>
  <c r="P54" i="42" s="1"/>
  <c r="AA9" i="40"/>
  <c r="Z49" i="42"/>
  <c r="AF42" i="45"/>
  <c r="AF50" i="45" s="1"/>
  <c r="AF51" i="45" s="1"/>
  <c r="AE55" i="45"/>
  <c r="J38" i="43"/>
  <c r="J41" i="43"/>
  <c r="AB82" i="42"/>
  <c r="AC17" i="44"/>
  <c r="AA18" i="42"/>
  <c r="AA19" i="42" s="1"/>
  <c r="AA24" i="42" s="1"/>
  <c r="AD56" i="45"/>
  <c r="AD57" i="45" s="1"/>
  <c r="Z16" i="40"/>
  <c r="Z18" i="40"/>
  <c r="Z83" i="42"/>
  <c r="Z84" i="42" s="1"/>
  <c r="Z74" i="42"/>
  <c r="J56" i="43"/>
  <c r="Q28" i="40" l="1"/>
  <c r="Q30" i="40"/>
  <c r="J44" i="43"/>
  <c r="K45" i="43" s="1"/>
  <c r="K42" i="43"/>
  <c r="P75" i="42"/>
  <c r="Q53" i="42"/>
  <c r="R35" i="40" s="1"/>
  <c r="R39" i="40" s="1"/>
  <c r="AA74" i="42"/>
  <c r="AA83" i="42"/>
  <c r="AA84" i="42" s="1"/>
  <c r="AG42" i="45"/>
  <c r="AG50" i="45" s="1"/>
  <c r="AG51" i="45" s="1"/>
  <c r="AF55" i="45"/>
  <c r="AE56" i="45"/>
  <c r="AE57" i="45" s="1"/>
  <c r="AB18" i="42"/>
  <c r="AB19" i="42" s="1"/>
  <c r="AB24" i="42" s="1"/>
  <c r="AA49" i="42"/>
  <c r="AB9" i="40"/>
  <c r="AA18" i="40"/>
  <c r="AA16" i="40"/>
  <c r="F46" i="40" s="1"/>
  <c r="AH30" i="1"/>
  <c r="AH34" i="1" s="1"/>
  <c r="AB36" i="42"/>
  <c r="Q23" i="42"/>
  <c r="P88" i="42"/>
  <c r="P89" i="42" s="1"/>
  <c r="P91" i="42" s="1"/>
  <c r="AC82" i="42"/>
  <c r="AD17" i="44"/>
  <c r="AF54" i="45"/>
  <c r="AC33" i="42" s="1"/>
  <c r="AG41" i="45"/>
  <c r="AG46" i="45" s="1"/>
  <c r="AG47" i="45" s="1"/>
  <c r="AF56" i="45" l="1"/>
  <c r="AF57" i="45" s="1"/>
  <c r="AC18" i="42"/>
  <c r="AC19" i="42" s="1"/>
  <c r="AC24" i="42" s="1"/>
  <c r="AH42" i="45"/>
  <c r="AH50" i="45" s="1"/>
  <c r="AH51" i="45" s="1"/>
  <c r="AH55" i="45" s="1"/>
  <c r="AG55" i="45"/>
  <c r="AE46" i="40"/>
  <c r="AJ46" i="40"/>
  <c r="AC46" i="40"/>
  <c r="AG46" i="40"/>
  <c r="AI46" i="40"/>
  <c r="AH46" i="40"/>
  <c r="AD46" i="40"/>
  <c r="AF46" i="40"/>
  <c r="AK46" i="40"/>
  <c r="AB46" i="40"/>
  <c r="R22" i="40"/>
  <c r="Q25" i="42"/>
  <c r="Q26" i="42" s="1"/>
  <c r="Q50" i="42"/>
  <c r="Q51" i="42" s="1"/>
  <c r="Q54" i="42" s="1"/>
  <c r="AH41" i="45"/>
  <c r="AH46" i="45" s="1"/>
  <c r="AH47" i="45" s="1"/>
  <c r="AH54" i="45" s="1"/>
  <c r="AE33" i="42" s="1"/>
  <c r="AG54" i="45"/>
  <c r="AD33" i="42" s="1"/>
  <c r="P93" i="42"/>
  <c r="P76" i="42"/>
  <c r="P95" i="42" s="1"/>
  <c r="P94" i="42" s="1"/>
  <c r="AI30" i="1"/>
  <c r="AI34" i="1" s="1"/>
  <c r="AC36" i="42"/>
  <c r="AB16" i="40"/>
  <c r="AB18" i="40"/>
  <c r="K26" i="43"/>
  <c r="AB83" i="42"/>
  <c r="AB84" i="42" s="1"/>
  <c r="AB74" i="42"/>
  <c r="AB49" i="42"/>
  <c r="AC9" i="40"/>
  <c r="AE17" i="44"/>
  <c r="AE82" i="42" s="1"/>
  <c r="AD82" i="42"/>
  <c r="K29" i="43"/>
  <c r="K31" i="43" l="1"/>
  <c r="K33" i="43" s="1"/>
  <c r="AC83" i="42"/>
  <c r="AC84" i="42" s="1"/>
  <c r="AC74" i="42"/>
  <c r="AJ30" i="1"/>
  <c r="AJ34" i="1" s="1"/>
  <c r="AD36" i="42"/>
  <c r="Q88" i="42"/>
  <c r="Q89" i="42" s="1"/>
  <c r="Q91" i="42" s="1"/>
  <c r="R23" i="42"/>
  <c r="R28" i="40"/>
  <c r="R30" i="40"/>
  <c r="R53" i="42"/>
  <c r="S35" i="40" s="1"/>
  <c r="S39" i="40" s="1"/>
  <c r="Q75" i="42"/>
  <c r="AD9" i="40"/>
  <c r="AC49" i="42"/>
  <c r="F48" i="40"/>
  <c r="AG56" i="45"/>
  <c r="AG57" i="45" s="1"/>
  <c r="AD18" i="42"/>
  <c r="AD19" i="42" s="1"/>
  <c r="AD24" i="42" s="1"/>
  <c r="AE18" i="42"/>
  <c r="AE19" i="42" s="1"/>
  <c r="AE24" i="42" s="1"/>
  <c r="AH56" i="45"/>
  <c r="AK30" i="1"/>
  <c r="AE36" i="42"/>
  <c r="E33" i="42"/>
  <c r="AC18" i="40"/>
  <c r="AC16" i="40"/>
  <c r="K49" i="43" l="1"/>
  <c r="K50" i="43"/>
  <c r="K37" i="43" s="1"/>
  <c r="K55" i="43"/>
  <c r="K58" i="43" s="1"/>
  <c r="AH57" i="45"/>
  <c r="I23" i="40"/>
  <c r="I29" i="40" s="1"/>
  <c r="W23" i="40"/>
  <c r="L23" i="40"/>
  <c r="L29" i="40" s="1"/>
  <c r="AA11" i="40"/>
  <c r="AA17" i="40" s="1"/>
  <c r="V23" i="40"/>
  <c r="O11" i="40"/>
  <c r="O17" i="40" s="1"/>
  <c r="AD11" i="40"/>
  <c r="AD17" i="40" s="1"/>
  <c r="J23" i="40"/>
  <c r="J29" i="40" s="1"/>
  <c r="F50" i="40"/>
  <c r="AF23" i="40"/>
  <c r="AD23" i="40"/>
  <c r="Y23" i="40"/>
  <c r="AF11" i="40"/>
  <c r="N23" i="40"/>
  <c r="N29" i="40" s="1"/>
  <c r="R23" i="40"/>
  <c r="R29" i="40" s="1"/>
  <c r="X11" i="40"/>
  <c r="X17" i="40" s="1"/>
  <c r="S23" i="40"/>
  <c r="AB11" i="40"/>
  <c r="AB17" i="40" s="1"/>
  <c r="N11" i="40"/>
  <c r="N17" i="40" s="1"/>
  <c r="Z23" i="40"/>
  <c r="AB23" i="40"/>
  <c r="T11" i="40"/>
  <c r="T17" i="40" s="1"/>
  <c r="M11" i="40"/>
  <c r="M17" i="40" s="1"/>
  <c r="W11" i="40"/>
  <c r="W17" i="40" s="1"/>
  <c r="U11" i="40"/>
  <c r="U17" i="40" s="1"/>
  <c r="U23" i="40"/>
  <c r="I11" i="40"/>
  <c r="I17" i="40" s="1"/>
  <c r="L11" i="40"/>
  <c r="L17" i="40" s="1"/>
  <c r="K23" i="40"/>
  <c r="K29" i="40" s="1"/>
  <c r="Q23" i="40"/>
  <c r="Q29" i="40" s="1"/>
  <c r="AE11" i="40"/>
  <c r="AC23" i="40"/>
  <c r="R11" i="40"/>
  <c r="R17" i="40" s="1"/>
  <c r="V11" i="40"/>
  <c r="V17" i="40" s="1"/>
  <c r="O23" i="40"/>
  <c r="O29" i="40" s="1"/>
  <c r="Q11" i="40"/>
  <c r="Q17" i="40" s="1"/>
  <c r="H11" i="40"/>
  <c r="H17" i="40" s="1"/>
  <c r="F52" i="40"/>
  <c r="Z11" i="40"/>
  <c r="Z17" i="40" s="1"/>
  <c r="J11" i="40"/>
  <c r="J17" i="40" s="1"/>
  <c r="S11" i="40"/>
  <c r="S17" i="40" s="1"/>
  <c r="AE23" i="40"/>
  <c r="K11" i="40"/>
  <c r="K17" i="40" s="1"/>
  <c r="H23" i="40"/>
  <c r="H29" i="40" s="1"/>
  <c r="P23" i="40"/>
  <c r="P29" i="40" s="1"/>
  <c r="Y11" i="40"/>
  <c r="Y17" i="40" s="1"/>
  <c r="M23" i="40"/>
  <c r="M29" i="40" s="1"/>
  <c r="X23" i="40"/>
  <c r="AA23" i="40"/>
  <c r="P11" i="40"/>
  <c r="P17" i="40" s="1"/>
  <c r="AC11" i="40"/>
  <c r="AC17" i="40" s="1"/>
  <c r="T23" i="40"/>
  <c r="K51" i="43"/>
  <c r="K36" i="43"/>
  <c r="AE9" i="40"/>
  <c r="AD49" i="42"/>
  <c r="Q93" i="42"/>
  <c r="Q76" i="42"/>
  <c r="Q95" i="42" s="1"/>
  <c r="Q94" i="42" s="1"/>
  <c r="AK34" i="1"/>
  <c r="K30" i="1"/>
  <c r="Y31" i="49" s="1"/>
  <c r="AE83" i="42"/>
  <c r="AE84" i="42" s="1"/>
  <c r="AE74" i="42"/>
  <c r="AD18" i="40"/>
  <c r="AD16" i="40"/>
  <c r="AF9" i="40"/>
  <c r="AE49" i="42"/>
  <c r="E36" i="42"/>
  <c r="S22" i="40"/>
  <c r="R25" i="42"/>
  <c r="R26" i="42" s="1"/>
  <c r="R50" i="42"/>
  <c r="R51" i="42" s="1"/>
  <c r="R54" i="42" s="1"/>
  <c r="AD74" i="42"/>
  <c r="AD83" i="42"/>
  <c r="AD84" i="42" s="1"/>
  <c r="K54" i="43" l="1"/>
  <c r="K56" i="43" s="1"/>
  <c r="AF16" i="40"/>
  <c r="AF18" i="40"/>
  <c r="AF17" i="40"/>
  <c r="AE17" i="40"/>
  <c r="AE18" i="40"/>
  <c r="AE16" i="40"/>
  <c r="K38" i="43"/>
  <c r="K41" i="43"/>
  <c r="S30" i="40"/>
  <c r="S29" i="40"/>
  <c r="S28" i="40"/>
  <c r="S53" i="42"/>
  <c r="T35" i="40" s="1"/>
  <c r="T39" i="40" s="1"/>
  <c r="R75" i="42"/>
  <c r="R88" i="42"/>
  <c r="R89" i="42" s="1"/>
  <c r="R91" i="42" s="1"/>
  <c r="S23" i="42"/>
  <c r="L42" i="43" l="1"/>
  <c r="L26" i="43" s="1"/>
  <c r="K44" i="43"/>
  <c r="L45" i="43" s="1"/>
  <c r="L29" i="43" s="1"/>
  <c r="R93" i="42"/>
  <c r="R76" i="42"/>
  <c r="R95" i="42" s="1"/>
  <c r="R94" i="42" s="1"/>
  <c r="T22" i="40"/>
  <c r="S25" i="42"/>
  <c r="S26" i="42" s="1"/>
  <c r="S50" i="42"/>
  <c r="S51" i="42" s="1"/>
  <c r="S54" i="42" s="1"/>
  <c r="S75" i="42" l="1"/>
  <c r="T53" i="42"/>
  <c r="U35" i="40" s="1"/>
  <c r="U39" i="40" s="1"/>
  <c r="T23" i="42"/>
  <c r="S88" i="42"/>
  <c r="S89" i="42" s="1"/>
  <c r="S91" i="42" s="1"/>
  <c r="T28" i="40"/>
  <c r="T30" i="40"/>
  <c r="T29" i="40"/>
  <c r="L31" i="43"/>
  <c r="L33" i="43" s="1"/>
  <c r="L55" i="43" l="1"/>
  <c r="L58" i="43" s="1"/>
  <c r="L50" i="43"/>
  <c r="L37" i="43" s="1"/>
  <c r="L49" i="43"/>
  <c r="U22" i="40"/>
  <c r="T50" i="42"/>
  <c r="T51" i="42" s="1"/>
  <c r="T54" i="42" s="1"/>
  <c r="T25" i="42"/>
  <c r="T26" i="42" s="1"/>
  <c r="S93" i="42"/>
  <c r="S76" i="42"/>
  <c r="S95" i="42" s="1"/>
  <c r="S94" i="42" s="1"/>
  <c r="L54" i="43" l="1"/>
  <c r="L56" i="43" s="1"/>
  <c r="T75" i="42"/>
  <c r="U53" i="42"/>
  <c r="V35" i="40" s="1"/>
  <c r="V39" i="40" s="1"/>
  <c r="U23" i="42"/>
  <c r="T88" i="42"/>
  <c r="T89" i="42" s="1"/>
  <c r="T91" i="42" s="1"/>
  <c r="U29" i="40"/>
  <c r="U30" i="40"/>
  <c r="U28" i="40"/>
  <c r="L36" i="43"/>
  <c r="L51" i="43"/>
  <c r="L38" i="43" l="1"/>
  <c r="L41" i="43"/>
  <c r="U25" i="42"/>
  <c r="U26" i="42" s="1"/>
  <c r="U50" i="42"/>
  <c r="U51" i="42" s="1"/>
  <c r="U54" i="42" s="1"/>
  <c r="V22" i="40"/>
  <c r="T93" i="42"/>
  <c r="T76" i="42"/>
  <c r="T95" i="42" s="1"/>
  <c r="T94" i="42" s="1"/>
  <c r="V29" i="40" l="1"/>
  <c r="V28" i="40"/>
  <c r="V30" i="40"/>
  <c r="U75" i="42"/>
  <c r="V53" i="42"/>
  <c r="W35" i="40" s="1"/>
  <c r="W39" i="40" s="1"/>
  <c r="V23" i="42"/>
  <c r="U88" i="42"/>
  <c r="U89" i="42" s="1"/>
  <c r="U91" i="42" s="1"/>
  <c r="L44" i="43"/>
  <c r="M45" i="43" s="1"/>
  <c r="M29" i="43" s="1"/>
  <c r="M42" i="43"/>
  <c r="M26" i="43" s="1"/>
  <c r="M31" i="43" l="1"/>
  <c r="M33" i="43" s="1"/>
  <c r="V25" i="42"/>
  <c r="V26" i="42" s="1"/>
  <c r="W22" i="40"/>
  <c r="V50" i="42"/>
  <c r="V51" i="42" s="1"/>
  <c r="V54" i="42" s="1"/>
  <c r="M49" i="43"/>
  <c r="M50" i="43"/>
  <c r="M37" i="43" s="1"/>
  <c r="M55" i="43"/>
  <c r="M58" i="43" s="1"/>
  <c r="U93" i="42"/>
  <c r="U76" i="42"/>
  <c r="U95" i="42" s="1"/>
  <c r="U94" i="42" s="1"/>
  <c r="M54" i="43" l="1"/>
  <c r="M56" i="43" s="1"/>
  <c r="W30" i="40"/>
  <c r="W28" i="40"/>
  <c r="W29" i="40"/>
  <c r="M36" i="43"/>
  <c r="M51" i="43"/>
  <c r="V75" i="42"/>
  <c r="W53" i="42"/>
  <c r="X35" i="40" s="1"/>
  <c r="X39" i="40" s="1"/>
  <c r="V88" i="42"/>
  <c r="V89" i="42" s="1"/>
  <c r="V91" i="42" s="1"/>
  <c r="W23" i="42"/>
  <c r="V93" i="42" l="1"/>
  <c r="V76" i="42"/>
  <c r="V95" i="42" s="1"/>
  <c r="V94" i="42" s="1"/>
  <c r="W25" i="42"/>
  <c r="W26" i="42" s="1"/>
  <c r="W50" i="42"/>
  <c r="W51" i="42" s="1"/>
  <c r="W54" i="42" s="1"/>
  <c r="X22" i="40"/>
  <c r="M38" i="43"/>
  <c r="M41" i="43"/>
  <c r="X29" i="40" l="1"/>
  <c r="X30" i="40"/>
  <c r="X28" i="40"/>
  <c r="N42" i="43"/>
  <c r="N26" i="43" s="1"/>
  <c r="M44" i="43"/>
  <c r="N45" i="43" s="1"/>
  <c r="N29" i="43" s="1"/>
  <c r="W75" i="42"/>
  <c r="X53" i="42"/>
  <c r="Y35" i="40" s="1"/>
  <c r="Y39" i="40" s="1"/>
  <c r="W88" i="42"/>
  <c r="W89" i="42" s="1"/>
  <c r="W91" i="42" s="1"/>
  <c r="X23" i="42"/>
  <c r="W93" i="42" l="1"/>
  <c r="W76" i="42"/>
  <c r="W95" i="42" s="1"/>
  <c r="W94" i="42" s="1"/>
  <c r="Y22" i="40"/>
  <c r="X50" i="42"/>
  <c r="X51" i="42" s="1"/>
  <c r="X54" i="42" s="1"/>
  <c r="X25" i="42"/>
  <c r="X26" i="42" s="1"/>
  <c r="N31" i="43"/>
  <c r="N33" i="43" s="1"/>
  <c r="Y28" i="40" l="1"/>
  <c r="Y29" i="40"/>
  <c r="Y30" i="40"/>
  <c r="N50" i="43"/>
  <c r="N37" i="43" s="1"/>
  <c r="N49" i="43"/>
  <c r="N55" i="43"/>
  <c r="N58" i="43" s="1"/>
  <c r="N54" i="43"/>
  <c r="N56" i="43" s="1"/>
  <c r="X88" i="42"/>
  <c r="X89" i="42" s="1"/>
  <c r="X91" i="42" s="1"/>
  <c r="Y23" i="42"/>
  <c r="Y53" i="42"/>
  <c r="Z35" i="40" s="1"/>
  <c r="Z39" i="40" s="1"/>
  <c r="X75" i="42"/>
  <c r="Y25" i="42" l="1"/>
  <c r="Y26" i="42" s="1"/>
  <c r="Z22" i="40"/>
  <c r="Y50" i="42"/>
  <c r="Y51" i="42" s="1"/>
  <c r="Y54" i="42" s="1"/>
  <c r="N51" i="43"/>
  <c r="N36" i="43"/>
  <c r="X93" i="42"/>
  <c r="X76" i="42"/>
  <c r="X95" i="42" s="1"/>
  <c r="X94" i="42" s="1"/>
  <c r="Z30" i="40" l="1"/>
  <c r="Z29" i="40"/>
  <c r="Z28" i="40"/>
  <c r="N38" i="43"/>
  <c r="N41" i="43"/>
  <c r="Z53" i="42"/>
  <c r="AA35" i="40" s="1"/>
  <c r="AA39" i="40" s="1"/>
  <c r="Y75" i="42"/>
  <c r="Y88" i="42"/>
  <c r="Y89" i="42" s="1"/>
  <c r="Y91" i="42" s="1"/>
  <c r="Z23" i="42"/>
  <c r="Y93" i="42" l="1"/>
  <c r="Y76" i="42"/>
  <c r="Y95" i="42" s="1"/>
  <c r="Y94" i="42" s="1"/>
  <c r="AA22" i="40"/>
  <c r="Z50" i="42"/>
  <c r="Z51" i="42" s="1"/>
  <c r="Z54" i="42" s="1"/>
  <c r="Z25" i="42"/>
  <c r="Z26" i="42" s="1"/>
  <c r="N44" i="43"/>
  <c r="O45" i="43" s="1"/>
  <c r="O29" i="43" s="1"/>
  <c r="O42" i="43"/>
  <c r="O26" i="43" s="1"/>
  <c r="O31" i="43" l="1"/>
  <c r="O33" i="43" s="1"/>
  <c r="O49" i="43"/>
  <c r="O50" i="43"/>
  <c r="O37" i="43" s="1"/>
  <c r="O55" i="43"/>
  <c r="O58" i="43" s="1"/>
  <c r="Z88" i="42"/>
  <c r="Z89" i="42" s="1"/>
  <c r="Z91" i="42" s="1"/>
  <c r="AA23" i="42"/>
  <c r="Z75" i="42"/>
  <c r="AA53" i="42"/>
  <c r="AB35" i="40" s="1"/>
  <c r="AB39" i="40" s="1"/>
  <c r="AA29" i="40"/>
  <c r="AA28" i="40"/>
  <c r="AA30" i="40"/>
  <c r="O54" i="43" l="1"/>
  <c r="O56" i="43" s="1"/>
  <c r="AA25" i="42"/>
  <c r="AA26" i="42" s="1"/>
  <c r="AB22" i="40"/>
  <c r="AA50" i="42"/>
  <c r="AA51" i="42" s="1"/>
  <c r="AA54" i="42" s="1"/>
  <c r="Z93" i="42"/>
  <c r="E93" i="42" s="1"/>
  <c r="Z76" i="42"/>
  <c r="Z95" i="42" s="1"/>
  <c r="Z94" i="42" s="1"/>
  <c r="E94" i="42" s="1"/>
  <c r="O36" i="43"/>
  <c r="O41" i="43" s="1"/>
  <c r="O51" i="43"/>
  <c r="P42" i="43" l="1"/>
  <c r="P26" i="43" s="1"/>
  <c r="O44" i="43"/>
  <c r="P45" i="43" s="1"/>
  <c r="P29" i="43" s="1"/>
  <c r="AB23" i="42"/>
  <c r="AA88" i="42"/>
  <c r="AA89" i="42" s="1"/>
  <c r="AA91" i="42" s="1"/>
  <c r="AA75" i="42"/>
  <c r="AB53" i="42"/>
  <c r="AC35" i="40" s="1"/>
  <c r="AC39" i="40" s="1"/>
  <c r="AB30" i="40"/>
  <c r="AB29" i="40"/>
  <c r="AB28" i="40"/>
  <c r="O38" i="43"/>
  <c r="AA93" i="42" l="1"/>
  <c r="AA76" i="42"/>
  <c r="AA95" i="42" s="1"/>
  <c r="AA94" i="42" s="1"/>
  <c r="AC22" i="40"/>
  <c r="AB50" i="42"/>
  <c r="AB51" i="42" s="1"/>
  <c r="AB54" i="42" s="1"/>
  <c r="AB25" i="42"/>
  <c r="AB26" i="42" s="1"/>
  <c r="P31" i="43"/>
  <c r="P33" i="43" s="1"/>
  <c r="P49" i="43" l="1"/>
  <c r="P50" i="43"/>
  <c r="P37" i="43" s="1"/>
  <c r="P55" i="43"/>
  <c r="P58" i="43" s="1"/>
  <c r="AB88" i="42"/>
  <c r="AB89" i="42" s="1"/>
  <c r="AB91" i="42" s="1"/>
  <c r="AC23" i="42"/>
  <c r="AB75" i="42"/>
  <c r="AC53" i="42"/>
  <c r="AD35" i="40" s="1"/>
  <c r="AD39" i="40" s="1"/>
  <c r="AC28" i="40"/>
  <c r="AC30" i="40"/>
  <c r="AC29" i="40"/>
  <c r="P54" i="43" l="1"/>
  <c r="P56" i="43" s="1"/>
  <c r="AB93" i="42"/>
  <c r="AB76" i="42"/>
  <c r="AB95" i="42" s="1"/>
  <c r="AB94" i="42" s="1"/>
  <c r="AD22" i="40"/>
  <c r="AC50" i="42"/>
  <c r="AC51" i="42" s="1"/>
  <c r="AC54" i="42" s="1"/>
  <c r="AC25" i="42"/>
  <c r="AC26" i="42" s="1"/>
  <c r="P36" i="43"/>
  <c r="P51" i="43"/>
  <c r="AD29" i="40" l="1"/>
  <c r="AD28" i="40"/>
  <c r="AD30" i="40"/>
  <c r="AD23" i="42"/>
  <c r="AC88" i="42"/>
  <c r="AC89" i="42" s="1"/>
  <c r="AC91" i="42" s="1"/>
  <c r="P38" i="43"/>
  <c r="P41" i="43"/>
  <c r="AD53" i="42"/>
  <c r="AE35" i="40" s="1"/>
  <c r="AE39" i="40" s="1"/>
  <c r="AC75" i="42"/>
  <c r="AC93" i="42" l="1"/>
  <c r="AC76" i="42"/>
  <c r="AC95" i="42" s="1"/>
  <c r="AC94" i="42" s="1"/>
  <c r="Q42" i="43"/>
  <c r="Q26" i="43" s="1"/>
  <c r="P44" i="43"/>
  <c r="Q45" i="43" s="1"/>
  <c r="Q29" i="43" s="1"/>
  <c r="AD50" i="42"/>
  <c r="AD51" i="42" s="1"/>
  <c r="AD54" i="42" s="1"/>
  <c r="AE22" i="40"/>
  <c r="AD25" i="42"/>
  <c r="AD26" i="42" s="1"/>
  <c r="AE53" i="42" l="1"/>
  <c r="AF35" i="40" s="1"/>
  <c r="AF39" i="40" s="1"/>
  <c r="AD75" i="42"/>
  <c r="AE29" i="40"/>
  <c r="AE28" i="40"/>
  <c r="AE30" i="40"/>
  <c r="AD88" i="42"/>
  <c r="AD89" i="42" s="1"/>
  <c r="AD91" i="42" s="1"/>
  <c r="AE23" i="42"/>
  <c r="Q31" i="43"/>
  <c r="Q33" i="43" s="1"/>
  <c r="AD93" i="42" l="1"/>
  <c r="AD76" i="42"/>
  <c r="AD95" i="42" s="1"/>
  <c r="AD94" i="42" s="1"/>
  <c r="Q49" i="43"/>
  <c r="Q55" i="43"/>
  <c r="Q58" i="43" s="1"/>
  <c r="Q50" i="43"/>
  <c r="Q37" i="43" s="1"/>
  <c r="AE50" i="42"/>
  <c r="AE51" i="42" s="1"/>
  <c r="AE54" i="42" s="1"/>
  <c r="AE75" i="42" s="1"/>
  <c r="AF22" i="40"/>
  <c r="AE25" i="42"/>
  <c r="AE26" i="42" s="1"/>
  <c r="AE88" i="42" s="1"/>
  <c r="AE89" i="42" s="1"/>
  <c r="AE91" i="42" s="1"/>
  <c r="Q54" i="43" l="1"/>
  <c r="Q56" i="43" s="1"/>
  <c r="AF28" i="40"/>
  <c r="AF29" i="40"/>
  <c r="AF30" i="40"/>
  <c r="Q36" i="43"/>
  <c r="Q41" i="43" s="1"/>
  <c r="Q51" i="43"/>
  <c r="AE93" i="42"/>
  <c r="AE76" i="42"/>
  <c r="AE95" i="42" s="1"/>
  <c r="AE94" i="42" s="1"/>
  <c r="Q38" i="43"/>
  <c r="Q44" i="43" l="1"/>
  <c r="R45" i="43" s="1"/>
  <c r="R29" i="43" s="1"/>
  <c r="R42" i="43"/>
  <c r="R26" i="43" s="1"/>
  <c r="R31" i="43" l="1"/>
  <c r="R33" i="43" s="1"/>
  <c r="R55" i="43"/>
  <c r="R58" i="43" s="1"/>
  <c r="R49" i="43"/>
  <c r="R50" i="43"/>
  <c r="R37" i="43" s="1"/>
  <c r="R54" i="43" l="1"/>
  <c r="R56" i="43" s="1"/>
  <c r="R51" i="43"/>
  <c r="R36" i="43"/>
  <c r="R38" i="43" l="1"/>
  <c r="R41" i="43"/>
  <c r="S42" i="43" l="1"/>
  <c r="S26" i="43" s="1"/>
  <c r="R44" i="43"/>
  <c r="S45" i="43" s="1"/>
  <c r="S29" i="43" s="1"/>
  <c r="S31" i="43" l="1"/>
  <c r="S33" i="43" s="1"/>
  <c r="S55" i="43" l="1"/>
  <c r="S58" i="43" s="1"/>
  <c r="S49" i="43"/>
  <c r="S50" i="43"/>
  <c r="S37" i="43" s="1"/>
  <c r="S54" i="43" l="1"/>
  <c r="S56" i="43" s="1"/>
  <c r="S36" i="43"/>
  <c r="S51" i="43"/>
  <c r="S38" i="43" l="1"/>
  <c r="S41" i="43"/>
  <c r="T42" i="43" l="1"/>
  <c r="T26" i="43" s="1"/>
  <c r="S44" i="43"/>
  <c r="T45" i="43" s="1"/>
  <c r="T29" i="43" s="1"/>
  <c r="T31" i="43" l="1"/>
  <c r="T33" i="43" s="1"/>
  <c r="T50" i="43" l="1"/>
  <c r="T37" i="43" s="1"/>
  <c r="T55" i="43"/>
  <c r="T58" i="43" s="1"/>
  <c r="T49" i="43"/>
  <c r="T54" i="43" l="1"/>
  <c r="T56" i="43" s="1"/>
  <c r="T51" i="43"/>
  <c r="T36" i="43"/>
  <c r="T38" i="43" l="1"/>
  <c r="T41" i="43"/>
  <c r="U42" i="43" l="1"/>
  <c r="U26" i="43" s="1"/>
  <c r="T44" i="43"/>
  <c r="U45" i="43" s="1"/>
  <c r="U29" i="43" s="1"/>
  <c r="U31" i="43" l="1"/>
  <c r="U33" i="43" s="1"/>
  <c r="U49" i="43" l="1"/>
  <c r="U50" i="43"/>
  <c r="U37" i="43" s="1"/>
  <c r="U55" i="43"/>
  <c r="U58" i="43" s="1"/>
  <c r="U54" i="43" l="1"/>
  <c r="U56" i="43" s="1"/>
  <c r="U36" i="43"/>
  <c r="U51" i="43"/>
  <c r="U38" i="43" l="1"/>
  <c r="U41" i="43"/>
  <c r="V42" i="43" l="1"/>
  <c r="V26" i="43" s="1"/>
  <c r="U44" i="43"/>
  <c r="V45" i="43" s="1"/>
  <c r="V29" i="43" s="1"/>
  <c r="V31" i="43" l="1"/>
  <c r="V33" i="43" s="1"/>
  <c r="V49" i="43" l="1"/>
  <c r="V50" i="43"/>
  <c r="V37" i="43" s="1"/>
  <c r="V55" i="43"/>
  <c r="V58" i="43" s="1"/>
  <c r="V54" i="43" l="1"/>
  <c r="V56" i="43" s="1"/>
  <c r="V36" i="43"/>
  <c r="V51" i="43"/>
  <c r="V38" i="43" l="1"/>
  <c r="V41" i="43"/>
  <c r="V44" i="43" l="1"/>
  <c r="W45" i="43" s="1"/>
  <c r="W29" i="43" s="1"/>
  <c r="W42" i="43"/>
  <c r="W26" i="43" s="1"/>
  <c r="W31" i="43" s="1"/>
  <c r="W33" i="43" s="1"/>
  <c r="W49" i="43" l="1"/>
  <c r="W50" i="43"/>
  <c r="W37" i="43" s="1"/>
  <c r="W55" i="43"/>
  <c r="W58" i="43" s="1"/>
  <c r="W54" i="43" l="1"/>
  <c r="W56" i="43" s="1"/>
  <c r="W36" i="43"/>
  <c r="W51" i="43"/>
  <c r="W38" i="43" l="1"/>
  <c r="W41" i="43"/>
  <c r="W44" i="43" l="1"/>
  <c r="X45" i="43" s="1"/>
  <c r="X29" i="43" s="1"/>
  <c r="X42" i="43"/>
  <c r="X26" i="43" s="1"/>
  <c r="X31" i="43" s="1"/>
  <c r="X33" i="43" s="1"/>
  <c r="X50" i="43" l="1"/>
  <c r="X37" i="43" s="1"/>
  <c r="X55" i="43"/>
  <c r="X58" i="43" s="1"/>
  <c r="X49" i="43"/>
  <c r="X54" i="43" l="1"/>
  <c r="X56" i="43" s="1"/>
  <c r="X51" i="43"/>
  <c r="X36" i="43"/>
  <c r="X38" i="43" l="1"/>
  <c r="X41" i="43"/>
  <c r="X44" i="43" l="1"/>
  <c r="Y45" i="43" s="1"/>
  <c r="Y29" i="43" s="1"/>
  <c r="Y42" i="43"/>
  <c r="Y26" i="43" s="1"/>
  <c r="Y31" i="43" l="1"/>
  <c r="Y33" i="43" s="1"/>
  <c r="Y49" i="43" s="1"/>
  <c r="Y55" i="43"/>
  <c r="Y58" i="43" s="1"/>
  <c r="Y50" i="43" l="1"/>
  <c r="Y37" i="43" s="1"/>
  <c r="Y54" i="43"/>
  <c r="Y56" i="43" s="1"/>
  <c r="Y36" i="43"/>
  <c r="Y51" i="43"/>
  <c r="Y38" i="43" l="1"/>
  <c r="Y41" i="43"/>
  <c r="Z42" i="43" l="1"/>
  <c r="Z26" i="43" s="1"/>
  <c r="Y44" i="43"/>
  <c r="Z45" i="43" s="1"/>
  <c r="Z29" i="43" s="1"/>
  <c r="Z31" i="43" l="1"/>
  <c r="Z33" i="43" s="1"/>
  <c r="Z55" i="43" l="1"/>
  <c r="Z58" i="43" s="1"/>
  <c r="Z49" i="43"/>
  <c r="Z50" i="43"/>
  <c r="Z37" i="43" s="1"/>
  <c r="Z54" i="43" l="1"/>
  <c r="Z56" i="43" s="1"/>
  <c r="Z36" i="43"/>
  <c r="Z51" i="43"/>
  <c r="Z38" i="43" l="1"/>
  <c r="Z41" i="43"/>
  <c r="Z44" i="43" l="1"/>
  <c r="AA45" i="43" s="1"/>
  <c r="AA29" i="43" s="1"/>
  <c r="AA42" i="43"/>
  <c r="AA26" i="43" s="1"/>
  <c r="AA31" i="43" l="1"/>
  <c r="AA33" i="43" s="1"/>
  <c r="AA55" i="43" s="1"/>
  <c r="AA58" i="43" s="1"/>
  <c r="AA50" i="43" l="1"/>
  <c r="AA37" i="43" s="1"/>
  <c r="AA49" i="43"/>
  <c r="AA51" i="43" s="1"/>
  <c r="AA54" i="43"/>
  <c r="AA56" i="43" s="1"/>
  <c r="AA36" i="43"/>
  <c r="AA41" i="43" l="1"/>
  <c r="AA38" i="43"/>
  <c r="AB42" i="43" l="1"/>
  <c r="AB26" i="43" s="1"/>
  <c r="AA44" i="43"/>
  <c r="AB45" i="43" s="1"/>
  <c r="AB29" i="43" s="1"/>
  <c r="AB31" i="43" l="1"/>
  <c r="AB33" i="43" s="1"/>
  <c r="AB50" i="43" l="1"/>
  <c r="AB37" i="43" s="1"/>
  <c r="AB49" i="43"/>
  <c r="AB55" i="43"/>
  <c r="AB58" i="43" s="1"/>
  <c r="AB54" i="43" l="1"/>
  <c r="AB56" i="43" s="1"/>
  <c r="AB51" i="43"/>
  <c r="AB36" i="43"/>
  <c r="AB38" i="43" l="1"/>
  <c r="AB41" i="43"/>
  <c r="AC42" i="43" l="1"/>
  <c r="AC26" i="43" s="1"/>
  <c r="AB44" i="43"/>
  <c r="AC45" i="43" s="1"/>
  <c r="AC29" i="43" s="1"/>
  <c r="AC31" i="43" l="1"/>
  <c r="AC33" i="43" s="1"/>
  <c r="AC49" i="43" l="1"/>
  <c r="AC50" i="43"/>
  <c r="AC37" i="43" s="1"/>
  <c r="AC55" i="43"/>
  <c r="AC58" i="43" s="1"/>
  <c r="AC54" i="43" l="1"/>
  <c r="AC56" i="43" s="1"/>
  <c r="AC36" i="43"/>
  <c r="AC51" i="43"/>
  <c r="AC38" i="43" l="1"/>
  <c r="AC41" i="43"/>
  <c r="AC44" i="43" l="1"/>
  <c r="AD45" i="43" s="1"/>
  <c r="AD29" i="43" s="1"/>
  <c r="AD42" i="43"/>
  <c r="AD26" i="43" s="1"/>
  <c r="AD31" i="43" s="1"/>
  <c r="AD33" i="43" s="1"/>
  <c r="AD49" i="43" l="1"/>
  <c r="AD55" i="43"/>
  <c r="AD58" i="43" s="1"/>
  <c r="AD50" i="43"/>
  <c r="AD37" i="43" s="1"/>
  <c r="AD54" i="43"/>
  <c r="AD56" i="43" s="1"/>
  <c r="AD36" i="43" l="1"/>
  <c r="AD51" i="43"/>
  <c r="AD38" i="43" l="1"/>
  <c r="AD41" i="43"/>
  <c r="AE42" i="43" l="1"/>
  <c r="AE26" i="43" s="1"/>
  <c r="AD44" i="43"/>
  <c r="AE45" i="43" s="1"/>
  <c r="AE29" i="43" s="1"/>
  <c r="AE31" i="43" l="1"/>
  <c r="AE33" i="43" s="1"/>
  <c r="AE50" i="43" l="1"/>
  <c r="AE37" i="43" s="1"/>
  <c r="AE55" i="43"/>
  <c r="AE58" i="43" s="1"/>
  <c r="AE49" i="43"/>
  <c r="AE54" i="43" l="1"/>
  <c r="AE56" i="43" s="1"/>
  <c r="AE51" i="43"/>
  <c r="AE36" i="43"/>
  <c r="AE41" i="43" l="1"/>
  <c r="AE38" i="43"/>
  <c r="AF42" i="43" l="1"/>
  <c r="AF26" i="43" s="1"/>
  <c r="AE44" i="43"/>
  <c r="AF45" i="43" s="1"/>
  <c r="AF29" i="43" s="1"/>
  <c r="AF31" i="43" l="1"/>
  <c r="AF33" i="43" s="1"/>
  <c r="AF49" i="43" l="1"/>
  <c r="AF55" i="43"/>
  <c r="AF58" i="43" s="1"/>
  <c r="AF50" i="43"/>
  <c r="AF37" i="43" s="1"/>
  <c r="AF54" i="43"/>
  <c r="AF56" i="43" s="1"/>
  <c r="AF36" i="43" l="1"/>
  <c r="AF51" i="43"/>
  <c r="AF38" i="43" l="1"/>
  <c r="AF41" i="43"/>
  <c r="AF44" i="43" l="1"/>
  <c r="AG45" i="43" s="1"/>
  <c r="AG29" i="43" s="1"/>
  <c r="AG42" i="43"/>
  <c r="AG26" i="43" s="1"/>
  <c r="AG31" i="43" l="1"/>
  <c r="AG33" i="43" s="1"/>
  <c r="AG49" i="43" s="1"/>
  <c r="AG50" i="43" l="1"/>
  <c r="AG37" i="43" s="1"/>
  <c r="AG55" i="43"/>
  <c r="AG58" i="43" s="1"/>
  <c r="AG36" i="43"/>
  <c r="AG51" i="43"/>
  <c r="AG54" i="43" l="1"/>
  <c r="AG56" i="43" s="1"/>
  <c r="AG38" i="43"/>
  <c r="AG41" i="43"/>
  <c r="AG44" i="43" l="1"/>
  <c r="AH45" i="43" s="1"/>
  <c r="AH29" i="43" s="1"/>
  <c r="AH42" i="43"/>
  <c r="AH26" i="43" s="1"/>
  <c r="AH31" i="43" s="1"/>
  <c r="AH33" i="43" s="1"/>
  <c r="AH50" i="43" l="1"/>
  <c r="AH37" i="43" s="1"/>
  <c r="AH49" i="43"/>
  <c r="AH55" i="43"/>
  <c r="AH58" i="43" s="1"/>
  <c r="AH54" i="43" l="1"/>
  <c r="AH56" i="43" s="1"/>
  <c r="AH36" i="43"/>
  <c r="AH51" i="43"/>
  <c r="AH38" i="43" l="1"/>
  <c r="AH41" i="43"/>
  <c r="AI42" i="43" l="1"/>
  <c r="AI26" i="43" s="1"/>
  <c r="AH44" i="43"/>
  <c r="AI45" i="43" s="1"/>
  <c r="AI29" i="43" s="1"/>
  <c r="AI31" i="43" l="1"/>
  <c r="AI33" i="43" s="1"/>
  <c r="AI49" i="43" l="1"/>
  <c r="AI55" i="43"/>
  <c r="AI58" i="43" s="1"/>
  <c r="AI50" i="43"/>
  <c r="AI37" i="43" s="1"/>
  <c r="AI54" i="43" l="1"/>
  <c r="AI56" i="43" s="1"/>
  <c r="AI36" i="43"/>
  <c r="AI51" i="43"/>
  <c r="AI38" i="43" l="1"/>
  <c r="AI41" i="43"/>
  <c r="AJ42" i="43" l="1"/>
  <c r="AJ26" i="43" s="1"/>
  <c r="AI44" i="43"/>
  <c r="AJ45" i="43" s="1"/>
  <c r="AJ29" i="43" s="1"/>
  <c r="AJ31" i="43" l="1"/>
  <c r="AJ33" i="43" s="1"/>
  <c r="AJ55" i="43" l="1"/>
  <c r="AJ58" i="43" s="1"/>
  <c r="AJ50" i="43"/>
  <c r="AJ37" i="43" s="1"/>
  <c r="AJ49" i="43"/>
  <c r="AJ54" i="43" l="1"/>
  <c r="AJ56" i="43" s="1"/>
  <c r="AJ36" i="43"/>
  <c r="AJ51" i="43"/>
  <c r="AJ38" i="43" l="1"/>
  <c r="AJ41" i="43"/>
  <c r="AJ44" i="43" l="1"/>
  <c r="AK45" i="43" s="1"/>
  <c r="AK29" i="43" s="1"/>
  <c r="AK42" i="43"/>
  <c r="AK26" i="43" s="1"/>
  <c r="AK31" i="43" l="1"/>
  <c r="AK33" i="43" s="1"/>
  <c r="AK49" i="43" s="1"/>
  <c r="AK55" i="43" l="1"/>
  <c r="AK58" i="43" s="1"/>
  <c r="AK50" i="43"/>
  <c r="AK37" i="43" s="1"/>
  <c r="AK36" i="43"/>
  <c r="AK51" i="43" l="1"/>
  <c r="AK54" i="43"/>
  <c r="AK56" i="43" s="1"/>
  <c r="AK38" i="43"/>
  <c r="AK41" i="43"/>
  <c r="AK44" i="43" l="1"/>
  <c r="AL45" i="43" s="1"/>
  <c r="AL29" i="43" s="1"/>
  <c r="AL42" i="43"/>
  <c r="AL26" i="43" s="1"/>
  <c r="AL31" i="43" l="1"/>
  <c r="AL33" i="43" s="1"/>
  <c r="AL55" i="43" s="1"/>
  <c r="AL58" i="43" s="1"/>
  <c r="AL50" i="43" l="1"/>
  <c r="AL37" i="43" s="1"/>
  <c r="AL49" i="43"/>
  <c r="AL54" i="43"/>
  <c r="AL56" i="43" s="1"/>
  <c r="AL36" i="43"/>
  <c r="AL51" i="43"/>
  <c r="AL38" i="43" l="1"/>
  <c r="AL41" i="43"/>
  <c r="AM42" i="43" l="1"/>
  <c r="AM26" i="43" s="1"/>
  <c r="AL44" i="43"/>
  <c r="AM45" i="43" s="1"/>
  <c r="AM29" i="43" s="1"/>
  <c r="AM31" i="43" l="1"/>
  <c r="AM33" i="43" s="1"/>
  <c r="AM50" i="43" l="1"/>
  <c r="AM37" i="43" s="1"/>
  <c r="AM55" i="43"/>
  <c r="AM58" i="43" s="1"/>
  <c r="AM49" i="43"/>
  <c r="AM54" i="43" l="1"/>
  <c r="AM56" i="43" s="1"/>
  <c r="AM51" i="43"/>
  <c r="AM36" i="43"/>
  <c r="AM41" i="43" l="1"/>
  <c r="AM38" i="43"/>
  <c r="AM44" i="43" l="1"/>
  <c r="AN45" i="43" s="1"/>
  <c r="AN29" i="43" s="1"/>
  <c r="AN42" i="43"/>
  <c r="AN26" i="43" s="1"/>
  <c r="AN31" i="43" s="1"/>
  <c r="AN33" i="43" s="1"/>
  <c r="AN50" i="43" l="1"/>
  <c r="AN37" i="43" s="1"/>
  <c r="AN55" i="43"/>
  <c r="AN58" i="43" s="1"/>
  <c r="AN49" i="43"/>
  <c r="AN54" i="43" l="1"/>
  <c r="AN56" i="43" s="1"/>
  <c r="AN36" i="43"/>
  <c r="AN51" i="43"/>
  <c r="AN38" i="43" l="1"/>
  <c r="AN41" i="43"/>
  <c r="AN44" i="43" l="1"/>
  <c r="AO45" i="43" s="1"/>
  <c r="AO29" i="43" s="1"/>
  <c r="AO42" i="43"/>
  <c r="AO26" i="43" s="1"/>
  <c r="AO31" i="43" l="1"/>
  <c r="AO33" i="43" s="1"/>
  <c r="AO50" i="43" s="1"/>
  <c r="AO37" i="43" s="1"/>
  <c r="AO55" i="43"/>
  <c r="AO58" i="43" s="1"/>
  <c r="AO49" i="43"/>
  <c r="AO54" i="43" l="1"/>
  <c r="AO56" i="43" s="1"/>
  <c r="AO36" i="43"/>
  <c r="AO51" i="43"/>
  <c r="AO38" i="43" l="1"/>
  <c r="AO41" i="43"/>
  <c r="AO44" i="43" l="1"/>
  <c r="AP45" i="43" s="1"/>
  <c r="AP29" i="43" s="1"/>
  <c r="AP42" i="43"/>
  <c r="AP26" i="43" s="1"/>
  <c r="AP31" i="43" s="1"/>
  <c r="AP33" i="43" s="1"/>
  <c r="AP55" i="43" l="1"/>
  <c r="AP58" i="43" s="1"/>
  <c r="AP50" i="43"/>
  <c r="AP37" i="43" s="1"/>
  <c r="AP49" i="43"/>
  <c r="AP54" i="43"/>
  <c r="AP56" i="43" s="1"/>
  <c r="AP36" i="43" l="1"/>
  <c r="AP51" i="43"/>
  <c r="AP38" i="43" l="1"/>
  <c r="AP41" i="43"/>
  <c r="AQ42" i="43" l="1"/>
  <c r="AQ26" i="43" s="1"/>
  <c r="AP44" i="43"/>
  <c r="AQ45" i="43" s="1"/>
  <c r="AQ29" i="43" s="1"/>
  <c r="AQ31" i="43" l="1"/>
  <c r="AQ33" i="43" s="1"/>
  <c r="AQ50" i="43" l="1"/>
  <c r="AQ37" i="43" s="1"/>
  <c r="AQ55" i="43"/>
  <c r="AQ58" i="43" s="1"/>
  <c r="AQ49" i="43"/>
  <c r="AQ54" i="43" l="1"/>
  <c r="AQ56" i="43" s="1"/>
  <c r="AQ51" i="43"/>
  <c r="AQ36" i="43"/>
  <c r="AQ38" i="43" l="1"/>
  <c r="AQ41" i="43"/>
  <c r="AQ44" i="43" l="1"/>
  <c r="AR45" i="43" s="1"/>
  <c r="AR29" i="43" s="1"/>
  <c r="AR42" i="43"/>
  <c r="AR26" i="43" s="1"/>
  <c r="AR31" i="43" l="1"/>
  <c r="AR33" i="43" s="1"/>
  <c r="AR49" i="43" s="1"/>
  <c r="AR50" i="43" l="1"/>
  <c r="AR37" i="43" s="1"/>
  <c r="AR55" i="43"/>
  <c r="AR58" i="43" s="1"/>
  <c r="AR36" i="43"/>
  <c r="AR54" i="43" l="1"/>
  <c r="AR56" i="43" s="1"/>
  <c r="AR51" i="43"/>
  <c r="AR38" i="43"/>
  <c r="AR41" i="43"/>
  <c r="AR44" i="43" l="1"/>
  <c r="AS45" i="43" s="1"/>
  <c r="AS42" i="43"/>
  <c r="AS26" i="43" l="1"/>
  <c r="E42" i="43"/>
  <c r="N40" i="39" s="1"/>
  <c r="O40" i="39" s="1"/>
  <c r="AS29" i="43"/>
  <c r="E45" i="43"/>
  <c r="N43" i="39" s="1"/>
  <c r="O43" i="39" s="1"/>
  <c r="O45" i="39" l="1"/>
  <c r="M39" i="39" s="1"/>
  <c r="D17" i="1" s="1"/>
  <c r="AS31" i="43"/>
  <c r="AS33" i="43" s="1"/>
  <c r="AS50" i="43" l="1"/>
  <c r="AS55" i="43"/>
  <c r="AS49" i="43"/>
  <c r="E33" i="43"/>
  <c r="D33" i="43" s="1"/>
  <c r="F63" i="43"/>
  <c r="G63" i="43"/>
  <c r="H63" i="43"/>
  <c r="I63" i="43"/>
  <c r="G10" i="40" l="1"/>
  <c r="J63" i="43"/>
  <c r="K63" i="43" s="1"/>
  <c r="AS36" i="43"/>
  <c r="AS51" i="43"/>
  <c r="E51" i="43" s="1"/>
  <c r="E49" i="43"/>
  <c r="AS54" i="43"/>
  <c r="E55" i="43"/>
  <c r="AS58" i="43"/>
  <c r="AS37" i="43"/>
  <c r="E50" i="43"/>
  <c r="E37" i="43" l="1"/>
  <c r="F64" i="43"/>
  <c r="G64" i="43"/>
  <c r="H64" i="43"/>
  <c r="I64" i="43"/>
  <c r="AS56" i="43"/>
  <c r="E56" i="43" s="1"/>
  <c r="E54" i="43"/>
  <c r="AS38" i="43"/>
  <c r="E38" i="43" s="1"/>
  <c r="AS41" i="43"/>
  <c r="AS44" i="43" s="1"/>
  <c r="E36" i="43"/>
  <c r="A36" i="43" s="1"/>
  <c r="G16" i="40"/>
  <c r="G17" i="40"/>
  <c r="G18" i="40"/>
  <c r="F18" i="40" l="1"/>
  <c r="K4" i="1" s="1"/>
  <c r="E18" i="40"/>
  <c r="K5" i="1" s="1"/>
  <c r="F17" i="40"/>
  <c r="E17" i="40"/>
  <c r="G21" i="40"/>
  <c r="J64" i="43"/>
  <c r="K64" i="43" s="1"/>
  <c r="F16" i="40"/>
  <c r="E16" i="40"/>
  <c r="A37" i="43"/>
  <c r="G30" i="40" l="1"/>
  <c r="G29" i="40"/>
  <c r="L26" i="1"/>
  <c r="G28" i="40"/>
  <c r="E28" i="40" l="1"/>
  <c r="F32" i="40"/>
  <c r="F28" i="40"/>
  <c r="L34" i="1"/>
  <c r="K34" i="1" s="1"/>
  <c r="K26" i="1"/>
  <c r="Y27" i="49" s="1"/>
  <c r="E29" i="40"/>
  <c r="F29" i="40"/>
  <c r="E31" i="40"/>
  <c r="E30" i="40"/>
  <c r="K9" i="1" s="1"/>
  <c r="F30" i="40"/>
  <c r="K8" i="1" s="1"/>
  <c r="Y53" i="49" l="1"/>
  <c r="S32" i="49" s="1"/>
  <c r="Y52" i="49"/>
  <c r="Y58" i="49" s="1"/>
  <c r="F4" i="1"/>
  <c r="F6" i="1" s="1"/>
  <c r="F8" i="1"/>
  <c r="F10" i="1" s="1"/>
  <c r="G4" i="1"/>
  <c r="G6"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<sst xmlns="http://schemas.openxmlformats.org/spreadsheetml/2006/main" count="1698" uniqueCount="686">
  <si>
    <t xml:space="preserve">Description </t>
  </si>
  <si>
    <t>Tech Detail</t>
  </si>
  <si>
    <t>Context</t>
  </si>
  <si>
    <t>2-1</t>
  </si>
  <si>
    <t>3-1a</t>
  </si>
  <si>
    <t>3-1b</t>
  </si>
  <si>
    <t>$/MWh</t>
  </si>
  <si>
    <t>$</t>
  </si>
  <si>
    <t>IRR</t>
  </si>
  <si>
    <t>%</t>
  </si>
  <si>
    <t>NPV</t>
  </si>
  <si>
    <t>Parameters</t>
  </si>
  <si>
    <t>Units</t>
  </si>
  <si>
    <t>Case</t>
  </si>
  <si>
    <t>Cost of Equity</t>
  </si>
  <si>
    <t>CPES Eligibility Category</t>
  </si>
  <si>
    <t>New Standard Config #</t>
  </si>
  <si>
    <t>RE ITC</t>
  </si>
  <si>
    <t>Model Economics (Y/N)</t>
  </si>
  <si>
    <t>Project Start Year</t>
  </si>
  <si>
    <t>yyyy</t>
  </si>
  <si>
    <t>Investment Term</t>
  </si>
  <si>
    <t>Years</t>
  </si>
  <si>
    <t xml:space="preserve">RE Parameters </t>
  </si>
  <si>
    <t>RE Capacity</t>
  </si>
  <si>
    <t>MW</t>
  </si>
  <si>
    <t>RE Capacity Factor</t>
  </si>
  <si>
    <t>Parameter</t>
  </si>
  <si>
    <t>Unit</t>
  </si>
  <si>
    <t>Levelized</t>
  </si>
  <si>
    <t>Degradation % of prior year's production</t>
  </si>
  <si>
    <t>Incremental Storage Economics?</t>
  </si>
  <si>
    <t>Yes:1, No:0</t>
  </si>
  <si>
    <t>Year</t>
  </si>
  <si>
    <t>ESS Parameters</t>
  </si>
  <si>
    <t>ESS Capacity</t>
  </si>
  <si>
    <t>ESS Duration</t>
  </si>
  <si>
    <t>Hrs</t>
  </si>
  <si>
    <t>Energy Rating (at COD)</t>
  </si>
  <si>
    <t>MWh</t>
  </si>
  <si>
    <t>Round-trip Efficiency</t>
  </si>
  <si>
    <t>SOC Low</t>
  </si>
  <si>
    <t>SOC High</t>
  </si>
  <si>
    <t>#</t>
  </si>
  <si>
    <t>System Availability</t>
  </si>
  <si>
    <t>Storage  Life (Warranty)</t>
  </si>
  <si>
    <t>EBITDA</t>
  </si>
  <si>
    <t>Annual DoD Cycles</t>
  </si>
  <si>
    <t>Charging Through RE</t>
  </si>
  <si>
    <t>Capex</t>
  </si>
  <si>
    <t>$/kW</t>
  </si>
  <si>
    <t>ESS (DC system) Price</t>
  </si>
  <si>
    <t>$/kWh</t>
  </si>
  <si>
    <t>Operating Expenses</t>
  </si>
  <si>
    <t>PCS/Inverter Price</t>
  </si>
  <si>
    <t>RE Equipment Cost</t>
  </si>
  <si>
    <t>ESS (DC system) Cost</t>
  </si>
  <si>
    <t>PCS/Inverter Cost</t>
  </si>
  <si>
    <t>Transformer</t>
  </si>
  <si>
    <t>Development + Construction</t>
  </si>
  <si>
    <t>Total  Cost</t>
  </si>
  <si>
    <t>Incremental Interconnection - MEAN</t>
  </si>
  <si>
    <t>Sub-total EPC</t>
  </si>
  <si>
    <t>Third Party and Other Costs</t>
  </si>
  <si>
    <t>Contingency</t>
  </si>
  <si>
    <t>% of EPC</t>
  </si>
  <si>
    <t>Total Capital Cost</t>
  </si>
  <si>
    <t>Depreciation</t>
  </si>
  <si>
    <t>OPEX</t>
  </si>
  <si>
    <t>$/kW/yr</t>
  </si>
  <si>
    <t>$/kWh/yr</t>
  </si>
  <si>
    <t>RE O&amp;M Cost</t>
  </si>
  <si>
    <t>ESS O&amp;M Cost (including warranties)</t>
  </si>
  <si>
    <t>Total O&amp;M Cost</t>
  </si>
  <si>
    <t>O&amp;M Escalation</t>
  </si>
  <si>
    <t>Storage Charging Cost (RE)</t>
  </si>
  <si>
    <t>Storage Charging Cost (Grid)</t>
  </si>
  <si>
    <t>Capital Structure</t>
  </si>
  <si>
    <t>Debt</t>
  </si>
  <si>
    <t>Equity</t>
  </si>
  <si>
    <t>Book Value</t>
  </si>
  <si>
    <t>Debt Amount</t>
  </si>
  <si>
    <t>Book Depreciation</t>
  </si>
  <si>
    <t>Equity Amount</t>
  </si>
  <si>
    <t>Debt Method</t>
  </si>
  <si>
    <t>1: Mortgage, 2: Amortization Schedule</t>
  </si>
  <si>
    <t>Interest Rate</t>
  </si>
  <si>
    <t>Loan Tenure</t>
  </si>
  <si>
    <t>Income Tax Rate</t>
  </si>
  <si>
    <t>WACC</t>
  </si>
  <si>
    <t>Others</t>
  </si>
  <si>
    <t>Depreciation (Book)</t>
  </si>
  <si>
    <t>Depreciation (MACR)</t>
  </si>
  <si>
    <t>Working Capital</t>
  </si>
  <si>
    <t xml:space="preserve">Months of O&amp;M </t>
  </si>
  <si>
    <t>Interest on Working Capital</t>
  </si>
  <si>
    <t>Standalone ESS ITC</t>
  </si>
  <si>
    <t>% of ESS Cost</t>
  </si>
  <si>
    <t>ITC Years</t>
  </si>
  <si>
    <t>Principal Payment</t>
  </si>
  <si>
    <t>Interest Payment</t>
  </si>
  <si>
    <t>Total Debt service</t>
  </si>
  <si>
    <t>Benefits</t>
  </si>
  <si>
    <t>Total Benefits (without ITC)</t>
  </si>
  <si>
    <t>ITC</t>
  </si>
  <si>
    <t>Total Benefits (with ITC)</t>
  </si>
  <si>
    <t>O&amp;M</t>
  </si>
  <si>
    <t>EBT</t>
  </si>
  <si>
    <t>EPC</t>
  </si>
  <si>
    <t>Principal</t>
  </si>
  <si>
    <t>NA</t>
  </si>
  <si>
    <t>1-2</t>
  </si>
  <si>
    <t>2-5</t>
  </si>
  <si>
    <t>2-6</t>
  </si>
  <si>
    <t>3-2a</t>
  </si>
  <si>
    <t>3-2b</t>
  </si>
  <si>
    <t>3-4a</t>
  </si>
  <si>
    <t>3-4b</t>
  </si>
  <si>
    <t>Placeholder user inputs in red text (To come from CoMETS simulations)</t>
  </si>
  <si>
    <t>Finalized user Inputs</t>
  </si>
  <si>
    <t>Case #</t>
  </si>
  <si>
    <t>Y</t>
  </si>
  <si>
    <t>Topology</t>
  </si>
  <si>
    <t>RE or DR equipment price</t>
  </si>
  <si>
    <t>RE or DR O&amp;M (Levelized to COD yr)</t>
  </si>
  <si>
    <t>ESS O&amp;M (including warranties, Levelized to COD year)</t>
  </si>
  <si>
    <t>Case Count</t>
  </si>
  <si>
    <t>Standard Technology 1</t>
  </si>
  <si>
    <t>Configuration</t>
  </si>
  <si>
    <t>IFOM/BTM</t>
  </si>
  <si>
    <t>Interconnection Level</t>
  </si>
  <si>
    <t>Location/Zone</t>
  </si>
  <si>
    <t>1: Mortgage, 2: Amortization</t>
  </si>
  <si>
    <t>n/a</t>
  </si>
  <si>
    <t>Distribution</t>
  </si>
  <si>
    <t>BTM</t>
  </si>
  <si>
    <t>Capacity Credit</t>
  </si>
  <si>
    <t>ESS duration</t>
  </si>
  <si>
    <t>Residential</t>
  </si>
  <si>
    <t>Storage</t>
  </si>
  <si>
    <t>Check</t>
  </si>
  <si>
    <t>1-1</t>
  </si>
  <si>
    <t>2-2</t>
  </si>
  <si>
    <t>2-3</t>
  </si>
  <si>
    <t>2-4</t>
  </si>
  <si>
    <t>FTM</t>
  </si>
  <si>
    <t>C&amp;I</t>
  </si>
  <si>
    <t>Spin- PJM Market</t>
  </si>
  <si>
    <t>Non-Spin - PJM Market</t>
  </si>
  <si>
    <t>Regulation - PJM Market</t>
  </si>
  <si>
    <t>Solar PV + BESS</t>
  </si>
  <si>
    <t>Standalone BESS</t>
  </si>
  <si>
    <t>3-3a</t>
  </si>
  <si>
    <t>3-3b</t>
  </si>
  <si>
    <t>Storage Financial Analysis Model</t>
  </si>
  <si>
    <t>all monetary amounts are in nominal USD</t>
  </si>
  <si>
    <t>IRR w/o TV</t>
  </si>
  <si>
    <t>Equity Investment</t>
  </si>
  <si>
    <t>Dividends</t>
  </si>
  <si>
    <t>Terminal Value</t>
  </si>
  <si>
    <t>Investment Tax Credits</t>
  </si>
  <si>
    <t>ESS</t>
  </si>
  <si>
    <t>Period</t>
  </si>
  <si>
    <t>Fixed Expense</t>
  </si>
  <si>
    <t>Financing</t>
  </si>
  <si>
    <t>Construction Start Date</t>
  </si>
  <si>
    <t>dd/mmm/yy</t>
  </si>
  <si>
    <t>Cost per kW PCS/Inverter</t>
  </si>
  <si>
    <t>S/kW</t>
  </si>
  <si>
    <t>Personnel</t>
  </si>
  <si>
    <t>Construction Period</t>
  </si>
  <si>
    <t>Months</t>
  </si>
  <si>
    <t>Cost per kWh Storage</t>
  </si>
  <si>
    <t>S/kWh</t>
  </si>
  <si>
    <t>~ Escalation</t>
  </si>
  <si>
    <t>COD</t>
  </si>
  <si>
    <t>PCS/Inverter</t>
  </si>
  <si>
    <t>O&amp;M Expense Storage</t>
  </si>
  <si>
    <t>Storage (DC System)</t>
  </si>
  <si>
    <t>First Yr</t>
  </si>
  <si>
    <t>Construction Loan</t>
  </si>
  <si>
    <t>End Date</t>
  </si>
  <si>
    <t>Second Yr</t>
  </si>
  <si>
    <t>Loan amount</t>
  </si>
  <si>
    <t>Construction</t>
  </si>
  <si>
    <t>3 yr onwards</t>
  </si>
  <si>
    <t>Tenor</t>
  </si>
  <si>
    <t>Interconnection</t>
  </si>
  <si>
    <t>Effective Interest Rate</t>
  </si>
  <si>
    <t>Power Rating</t>
  </si>
  <si>
    <t>Spare Parts</t>
  </si>
  <si>
    <t>Warranties and Guarantees</t>
  </si>
  <si>
    <t>Establishment Fee Rate</t>
  </si>
  <si>
    <t>one-time (%)</t>
  </si>
  <si>
    <t>Duration</t>
  </si>
  <si>
    <t>RE Cost per kW</t>
  </si>
  <si>
    <t>Commitment Fee Rate</t>
  </si>
  <si>
    <t>per annum  (%)</t>
  </si>
  <si>
    <t>Capital Cost for RE</t>
  </si>
  <si>
    <t>Scheduling Costs</t>
  </si>
  <si>
    <t xml:space="preserve">Drawdown Option </t>
  </si>
  <si>
    <t>1: Pari Passu, 2: Equity First</t>
  </si>
  <si>
    <t>Long Term Debt</t>
  </si>
  <si>
    <t>Insurance</t>
  </si>
  <si>
    <t xml:space="preserve">Degradation </t>
  </si>
  <si>
    <t>See Rev&amp;Exp tab for YoY degradation</t>
  </si>
  <si>
    <t>Sub-total Contingency</t>
  </si>
  <si>
    <t>Land Lease</t>
  </si>
  <si>
    <t>Debt Profile</t>
  </si>
  <si>
    <t>Third Party</t>
  </si>
  <si>
    <t>Property Tax</t>
  </si>
  <si>
    <t>Debt Placement Fee</t>
  </si>
  <si>
    <t>Permitting + Consulting Services</t>
  </si>
  <si>
    <t>Property Tax Amt.</t>
  </si>
  <si>
    <t>RE Data</t>
  </si>
  <si>
    <t>Legal</t>
  </si>
  <si>
    <t>Amount</t>
  </si>
  <si>
    <t>Shipping to Site</t>
  </si>
  <si>
    <t>RE Opex</t>
  </si>
  <si>
    <t>Qualified Capacity</t>
  </si>
  <si>
    <t>Installations on Foundations</t>
  </si>
  <si>
    <t>Equity Placement Fee</t>
  </si>
  <si>
    <t xml:space="preserve">Solar Capacity Credit </t>
  </si>
  <si>
    <t>See CoMETS tab</t>
  </si>
  <si>
    <t>Testing and Verification</t>
  </si>
  <si>
    <t>Dividend Policy</t>
  </si>
  <si>
    <t>Show RE Injection Revenues</t>
  </si>
  <si>
    <t>Sub-total Third Part Costs</t>
  </si>
  <si>
    <t>Variable Expense</t>
  </si>
  <si>
    <t>Net Income + RE</t>
  </si>
  <si>
    <t>0/1</t>
  </si>
  <si>
    <t>Solar PPA</t>
  </si>
  <si>
    <t>Charging Cost/ Energy Loss(Regulation)</t>
  </si>
  <si>
    <t>See WebOps Tab</t>
  </si>
  <si>
    <t>Debt Coverage Ratio</t>
  </si>
  <si>
    <t>PPA Price</t>
  </si>
  <si>
    <t>Land Cost</t>
  </si>
  <si>
    <t>~ Min. DSCR</t>
  </si>
  <si>
    <t>Import Duties and Tax</t>
  </si>
  <si>
    <t>Sub-total Duties and Taxes</t>
  </si>
  <si>
    <t>Taxes and Other Cash Drivers</t>
  </si>
  <si>
    <t>Initial WC + Maintenance Reserve</t>
  </si>
  <si>
    <t>Account Receivables</t>
  </si>
  <si>
    <t>days</t>
  </si>
  <si>
    <t>Financing Costs</t>
  </si>
  <si>
    <t>Account Payables</t>
  </si>
  <si>
    <t>Interest during Construction</t>
  </si>
  <si>
    <t>Inventory Turnover</t>
  </si>
  <si>
    <t>Construction Loan Upfront Fee</t>
  </si>
  <si>
    <t>Debt Commitment Fee</t>
  </si>
  <si>
    <t>ITC as % of Capital Cost</t>
  </si>
  <si>
    <t>Long Term Debt Placement Fee</t>
  </si>
  <si>
    <t>Max Annual ITC Benefit</t>
  </si>
  <si>
    <t>Depreciation Book</t>
  </si>
  <si>
    <t>PP&amp;E</t>
  </si>
  <si>
    <t>Other Capital Costs</t>
  </si>
  <si>
    <t>Replacement / Augmentation</t>
  </si>
  <si>
    <t xml:space="preserve">Augmentation Cost </t>
  </si>
  <si>
    <t>Depreciation Cash</t>
  </si>
  <si>
    <t>Capacity to be Replaced</t>
  </si>
  <si>
    <t>Investor Returns</t>
  </si>
  <si>
    <t>Unlevered Returns</t>
  </si>
  <si>
    <t>Net Operating Cash Flow</t>
  </si>
  <si>
    <t>Unlevered Free Cash Flow w/o TV</t>
  </si>
  <si>
    <t>Unlevered Free Cash Flow with TV</t>
  </si>
  <si>
    <t>Levered Returns</t>
  </si>
  <si>
    <t>Returns w/o TV &amp; ITC</t>
  </si>
  <si>
    <t>Returns with TV but w/o ITC</t>
  </si>
  <si>
    <t>Dividend Pay Out</t>
  </si>
  <si>
    <t>Total Cash Available</t>
  </si>
  <si>
    <t>Debt Coverage</t>
  </si>
  <si>
    <t>Dividend Paid-out</t>
  </si>
  <si>
    <t>Post Investment Term</t>
  </si>
  <si>
    <t>TV Applicable</t>
  </si>
  <si>
    <t>Yr.</t>
  </si>
  <si>
    <t>Life after end of the term</t>
  </si>
  <si>
    <t>CF @ end of the term</t>
  </si>
  <si>
    <t>CF</t>
  </si>
  <si>
    <t>Discount Rate for TV</t>
  </si>
  <si>
    <t>Discount Factor</t>
  </si>
  <si>
    <t>EBITDA @ end of the term</t>
  </si>
  <si>
    <t>EBITDA Multiple</t>
  </si>
  <si>
    <t>x</t>
  </si>
  <si>
    <t>Initial Capex (Hard Costs)</t>
  </si>
  <si>
    <t>TV as % of Initial cost</t>
  </si>
  <si>
    <t>Discounting Factor</t>
  </si>
  <si>
    <t>Revenue</t>
  </si>
  <si>
    <t>Case: In-front, BTM LF 0.1, BTM LF0.5, BTM LF 0.7</t>
  </si>
  <si>
    <t>Other Revenues</t>
  </si>
  <si>
    <t>Total Revenue</t>
  </si>
  <si>
    <t>Expense</t>
  </si>
  <si>
    <t>Fixed Costs</t>
  </si>
  <si>
    <t>Scheduling</t>
  </si>
  <si>
    <t>Property Taxes</t>
  </si>
  <si>
    <t>Total Fixed Costs</t>
  </si>
  <si>
    <t>Variable Costs</t>
  </si>
  <si>
    <t>Total Variable Costs</t>
  </si>
  <si>
    <t>Total Operating Expense</t>
  </si>
  <si>
    <t>Operating Profit</t>
  </si>
  <si>
    <t>INCOME STATEMENT</t>
  </si>
  <si>
    <t>Gross Revenue</t>
  </si>
  <si>
    <t>EBIT</t>
  </si>
  <si>
    <t>Interest Expense</t>
  </si>
  <si>
    <t>Book Taxes</t>
  </si>
  <si>
    <t>Net Income</t>
  </si>
  <si>
    <t>Retained Earnings</t>
  </si>
  <si>
    <t>RE BOY</t>
  </si>
  <si>
    <t>Plus: Net Income</t>
  </si>
  <si>
    <t>Less: Dividends</t>
  </si>
  <si>
    <t>RE EOY</t>
  </si>
  <si>
    <t>CASH FLOWS</t>
  </si>
  <si>
    <t>Operating Cash Flow</t>
  </si>
  <si>
    <t>Less: Cash Taxes</t>
  </si>
  <si>
    <t>Decrease (Increase) Maintenance Reserve</t>
  </si>
  <si>
    <t>Change in Working Capital</t>
  </si>
  <si>
    <t>Investing Cash Flow</t>
  </si>
  <si>
    <t>Capacity to be replaced</t>
  </si>
  <si>
    <t>Capex (Replacement cost)</t>
  </si>
  <si>
    <t>Financing and Debt Service</t>
  </si>
  <si>
    <t>Interest Income</t>
  </si>
  <si>
    <t>Less: Interest Payment</t>
  </si>
  <si>
    <t>Less: Principal Repayment</t>
  </si>
  <si>
    <t>Cash Required by Financing Activities</t>
  </si>
  <si>
    <t>Cash Available for Distribution</t>
  </si>
  <si>
    <t>Less: Dividend</t>
  </si>
  <si>
    <t>Net Change</t>
  </si>
  <si>
    <t>Cash Balance - BOY</t>
  </si>
  <si>
    <t>Cash Balance - EOY</t>
  </si>
  <si>
    <t>Pre-tax DSCR</t>
  </si>
  <si>
    <t>Post-tax DSCR</t>
  </si>
  <si>
    <t xml:space="preserve">Minimum DSCR </t>
  </si>
  <si>
    <t>Pre-tax</t>
  </si>
  <si>
    <t>Post-tax</t>
  </si>
  <si>
    <t>BALANCE SHEET</t>
  </si>
  <si>
    <t>Assets</t>
  </si>
  <si>
    <t xml:space="preserve">Fixed Assets </t>
  </si>
  <si>
    <t>Less: Accrued Depreciation (book)</t>
  </si>
  <si>
    <t>Net Fixed Assets</t>
  </si>
  <si>
    <t>Inventory</t>
  </si>
  <si>
    <t>Land Assets</t>
  </si>
  <si>
    <t>Maintenance Reserve</t>
  </si>
  <si>
    <t>Deferred Tax Assets</t>
  </si>
  <si>
    <t>Cash</t>
  </si>
  <si>
    <t>Total Assets</t>
  </si>
  <si>
    <t>Short Term Loan</t>
  </si>
  <si>
    <t>Interest Payable</t>
  </si>
  <si>
    <t>Long Term Loan</t>
  </si>
  <si>
    <t>Deferred Taxes Liabilities</t>
  </si>
  <si>
    <t>Total Liabilities</t>
  </si>
  <si>
    <t>Owner's Equity</t>
  </si>
  <si>
    <t>Capital Paid</t>
  </si>
  <si>
    <t>Total Owner's Equity</t>
  </si>
  <si>
    <t>Total Liabilities + Equity</t>
  </si>
  <si>
    <t>Cash Check</t>
  </si>
  <si>
    <t>Balance Check</t>
  </si>
  <si>
    <t>Balance Delta</t>
  </si>
  <si>
    <t>DRAWS</t>
  </si>
  <si>
    <t xml:space="preserve">COD </t>
  </si>
  <si>
    <t>Monthly Dates</t>
  </si>
  <si>
    <t>EPC Draw (%)</t>
  </si>
  <si>
    <t>Third Party Draw (%)</t>
  </si>
  <si>
    <t>Uses of Funds</t>
  </si>
  <si>
    <t>EPC Contingency</t>
  </si>
  <si>
    <t>Land Costs</t>
  </si>
  <si>
    <t>Import Duties and Taxes</t>
  </si>
  <si>
    <t>Initial WC &amp; Maintenance Reserve</t>
  </si>
  <si>
    <t>Total Financing Costs</t>
  </si>
  <si>
    <t>Total Costs</t>
  </si>
  <si>
    <t>Sources of Funds</t>
  </si>
  <si>
    <t>Total Source</t>
  </si>
  <si>
    <t>Cumulative Draws</t>
  </si>
  <si>
    <t>IDC</t>
  </si>
  <si>
    <t>Outstanding Balance</t>
  </si>
  <si>
    <t>Commitment Fee</t>
  </si>
  <si>
    <t>Option: Pari-Passu</t>
  </si>
  <si>
    <t>Option: Equity First</t>
  </si>
  <si>
    <t>Available Equity</t>
  </si>
  <si>
    <t>Annualized Draws</t>
  </si>
  <si>
    <t>Dates</t>
  </si>
  <si>
    <t>Total</t>
  </si>
  <si>
    <t>Total Draws</t>
  </si>
  <si>
    <t>Equity Draws</t>
  </si>
  <si>
    <t>DEBT SERVICE</t>
  </si>
  <si>
    <t>Maturity</t>
  </si>
  <si>
    <t>years</t>
  </si>
  <si>
    <t>Style</t>
  </si>
  <si>
    <t>●</t>
  </si>
  <si>
    <t>Amortization</t>
  </si>
  <si>
    <t>Cash Available to service the debt</t>
  </si>
  <si>
    <t>Interest</t>
  </si>
  <si>
    <t xml:space="preserve">Cash Available </t>
  </si>
  <si>
    <t>Delta</t>
  </si>
  <si>
    <t>DEPRECIATION</t>
  </si>
  <si>
    <t>Fixed Assets</t>
  </si>
  <si>
    <t>Life (yrs)</t>
  </si>
  <si>
    <t>Depreciable</t>
  </si>
  <si>
    <t>Cumulative</t>
  </si>
  <si>
    <t>Cash Depreciation</t>
  </si>
  <si>
    <t>INCOME TAXES</t>
  </si>
  <si>
    <t>Net Income Before Tax Adjustment</t>
  </si>
  <si>
    <t>Less: Interest Expense</t>
  </si>
  <si>
    <t>Less: Cash Tax Depreciation</t>
  </si>
  <si>
    <t>Net Income Before Tax Adjustment (cash)</t>
  </si>
  <si>
    <t>Less: Book Tax Depreciation</t>
  </si>
  <si>
    <t>Net Income Before Tax Adjustment (book)</t>
  </si>
  <si>
    <t>Loss Carry Forward</t>
  </si>
  <si>
    <t>Loss Carry Forward (cash)</t>
  </si>
  <si>
    <t>Loss Carry Forward (book)</t>
  </si>
  <si>
    <t>Taxable Income</t>
  </si>
  <si>
    <t>Total Losses Used for Income Tax Exemption (cash)</t>
  </si>
  <si>
    <t>Total Losses Used for Income Tax Exemption (book)</t>
  </si>
  <si>
    <t>Book</t>
  </si>
  <si>
    <t>Income Taxes</t>
  </si>
  <si>
    <t>Deferred Taxes</t>
  </si>
  <si>
    <t>Cumulative Deferred Taxes</t>
  </si>
  <si>
    <t>WORKING CAPITAL</t>
  </si>
  <si>
    <t>Amounts Receivable</t>
  </si>
  <si>
    <t>Days Receivable</t>
  </si>
  <si>
    <t>Days in Year</t>
  </si>
  <si>
    <t>Revenue Receivable</t>
  </si>
  <si>
    <t>VAT Receivable</t>
  </si>
  <si>
    <t>Total Receivable</t>
  </si>
  <si>
    <t>Amounts Payable</t>
  </si>
  <si>
    <t>Days Payable</t>
  </si>
  <si>
    <t>Direct Expenses</t>
  </si>
  <si>
    <t>Total Payable</t>
  </si>
  <si>
    <t>Decrease (Increase) in Accounts Receivable</t>
  </si>
  <si>
    <t>Decrease (Increase) in Inventory</t>
  </si>
  <si>
    <t>Increase (Decrease) in Accounts Payable</t>
  </si>
  <si>
    <t>Net Change in Working Capital</t>
  </si>
  <si>
    <t>MACR Table</t>
  </si>
  <si>
    <t>Energy Generation</t>
  </si>
  <si>
    <t>Generation Capacity</t>
  </si>
  <si>
    <t>Transmission Capacity</t>
  </si>
  <si>
    <t>Distribution Capacity</t>
  </si>
  <si>
    <t>Market Price Effects - Wholesale Energy</t>
  </si>
  <si>
    <t>Market Price Effects - Wholesale Capacity</t>
  </si>
  <si>
    <t>Capacity - PJM Market</t>
  </si>
  <si>
    <t>Energy Savings</t>
  </si>
  <si>
    <t xml:space="preserve">Demand Savings </t>
  </si>
  <si>
    <t>GHG Impacts</t>
  </si>
  <si>
    <t>Reg Revenue</t>
  </si>
  <si>
    <t>Spin Revenue</t>
  </si>
  <si>
    <t>Grid Services</t>
  </si>
  <si>
    <t>Demand Savings</t>
  </si>
  <si>
    <t>Energy Arbitrage</t>
  </si>
  <si>
    <t>Customer Charges/ Fixed Charges</t>
  </si>
  <si>
    <t>As Used Demand Charges</t>
  </si>
  <si>
    <t>Charge MWh</t>
  </si>
  <si>
    <t>Energy Arbitrage - PJM Market</t>
  </si>
  <si>
    <t>Incurred Energy Charges</t>
  </si>
  <si>
    <t>Full Eq DoD Cycle</t>
  </si>
  <si>
    <t>Total ESS Charge MWh</t>
  </si>
  <si>
    <t>Disharge MWh</t>
  </si>
  <si>
    <t>Total ESS DCharge MWh</t>
  </si>
  <si>
    <t>Export MWh</t>
  </si>
  <si>
    <t>Energy Generation - Export</t>
  </si>
  <si>
    <t>1: Mortgage, 
2: Amortization</t>
  </si>
  <si>
    <t>Contract Demand Charges  Fixed</t>
  </si>
  <si>
    <t>MD / BGE</t>
  </si>
  <si>
    <t>Resi Rooftop - Net Metering</t>
  </si>
  <si>
    <t>O&amp;M Expenses (Fixed + Variable)</t>
  </si>
  <si>
    <t>Yes</t>
  </si>
  <si>
    <t>Grid Services Tariff</t>
  </si>
  <si>
    <t>PJM Capacity Revenue (Yes:1, No:0)</t>
  </si>
  <si>
    <t>FTM - Load Reducer (2 MW / 4 MWh)</t>
  </si>
  <si>
    <t>FTM - Load Reducer (5 MW / 10 MWh)</t>
  </si>
  <si>
    <t>FTM - Load Reducer (2 MW / 8 MWh)</t>
  </si>
  <si>
    <t>FTM - Load Reducer (5 MW / 20 MWh)</t>
  </si>
  <si>
    <t>C&amp;I - Small (0.5 MW/1 MWh)</t>
  </si>
  <si>
    <t>C&amp;I - Small (0.5 MW/2 MWh)</t>
  </si>
  <si>
    <t>C&amp;I - Medium (1 MW / 2 MWh)</t>
  </si>
  <si>
    <t>C&amp;I - Medium (1 MW / 4 MWh)</t>
  </si>
  <si>
    <t>C&amp;I - Large (2 MW / 4 MWh)</t>
  </si>
  <si>
    <t>C&amp;I - Large (2 MW / 8 MWh)</t>
  </si>
  <si>
    <t>FTM - Market Participant (2 MW / 4 MWh)</t>
  </si>
  <si>
    <t>FTM - Market Participant (2 MW / 8 MWh)</t>
  </si>
  <si>
    <t>FTM - Market Participant (5 MW / 10 MWh)</t>
  </si>
  <si>
    <t>FTM - Market Participant (5 MW / 20 MWh)</t>
  </si>
  <si>
    <t>Avoided Cost of Participant Backup Generator</t>
  </si>
  <si>
    <t>One-Time Avoided Cost of Participant Backup Generator</t>
  </si>
  <si>
    <t>Annual Revenues by Year</t>
  </si>
  <si>
    <t xml:space="preserve">PJM Market Revenues </t>
  </si>
  <si>
    <t>FTM Charging Costs</t>
  </si>
  <si>
    <t>Retail Bill Savings</t>
  </si>
  <si>
    <t>Net Levelized Values</t>
  </si>
  <si>
    <t>Capacity Price Forecast ($/MW-day)</t>
  </si>
  <si>
    <t>Gap ($)</t>
  </si>
  <si>
    <t xml:space="preserve">$/MW </t>
  </si>
  <si>
    <t xml:space="preserve">$/MWh </t>
  </si>
  <si>
    <t>Grid Service Tariff Benefits (Y/N)</t>
  </si>
  <si>
    <t>Sub-total EPC ( All Inc.)</t>
  </si>
  <si>
    <t>Cost Components</t>
  </si>
  <si>
    <t>$/yr</t>
  </si>
  <si>
    <t xml:space="preserve">Case: </t>
  </si>
  <si>
    <t xml:space="preserve">Energy Savings </t>
  </si>
  <si>
    <t>PJM Market</t>
  </si>
  <si>
    <t>Capacity Payment</t>
  </si>
  <si>
    <t>Host Benefit</t>
  </si>
  <si>
    <r>
      <t xml:space="preserve">Host </t>
    </r>
    <r>
      <rPr>
        <sz val="14"/>
        <color theme="1"/>
        <rFont val="Aptos"/>
        <family val="2"/>
      </rPr>
      <t>Benefit</t>
    </r>
  </si>
  <si>
    <t>No</t>
  </si>
  <si>
    <t xml:space="preserve">Yes </t>
  </si>
  <si>
    <t xml:space="preserve">For Net Metered projects, no. For standalone projects, yes. </t>
  </si>
  <si>
    <t>Yes. But most residential rate classes do not have demand charges</t>
  </si>
  <si>
    <t xml:space="preserve">Yes. Demand savings include demand charge reduction for delivery, transmission, and capacity demand. </t>
  </si>
  <si>
    <t>Relevant to residential projects?</t>
  </si>
  <si>
    <t>Relevant to C&amp;I projects?</t>
  </si>
  <si>
    <t>Relevant to FTM - Market Participant projects?</t>
  </si>
  <si>
    <t xml:space="preserve">Yes. Will show as a negative charging cost. </t>
  </si>
  <si>
    <t xml:space="preserve">No. FTM has no retail bill. </t>
  </si>
  <si>
    <t>Overview of Benefits</t>
  </si>
  <si>
    <t>Measurement Approach</t>
  </si>
  <si>
    <t>Description of Benefit</t>
  </si>
  <si>
    <t>Basis for Compensation Rate</t>
  </si>
  <si>
    <t>Settlement from PJM from participating as a supply in the annual capacity auction (BRA)</t>
  </si>
  <si>
    <t>EmPOWER Values for BRA auction results &amp; PJM ELCC rates</t>
  </si>
  <si>
    <t xml:space="preserve">Selling energy directly into the PJM energy market </t>
  </si>
  <si>
    <t>Participating in PJM Ancillary Services market</t>
  </si>
  <si>
    <t>CES LMP forecasts</t>
  </si>
  <si>
    <t>Per PJM compensation mechanism</t>
  </si>
  <si>
    <t>Cost of charging energy</t>
  </si>
  <si>
    <t>Charging energy (kWh)</t>
  </si>
  <si>
    <t>Nameplate capacity (kW) and ELCC value</t>
  </si>
  <si>
    <t>Discharge value (kWh)</t>
  </si>
  <si>
    <t>##</t>
  </si>
  <si>
    <t>NPV Benefits (without ITC)</t>
  </si>
  <si>
    <t>NPV Benefits (with ITC)</t>
  </si>
  <si>
    <t>Cost of as-used demand charges ($/kWh) as specified either in the WDS or BGE rate class</t>
  </si>
  <si>
    <t>Demand (kW)</t>
  </si>
  <si>
    <t xml:space="preserve">Retail bill savings from reducing cost of energy supply (either by reducing total volume of supply or shifting load to lower cost hours) </t>
  </si>
  <si>
    <t xml:space="preserve">Retail bill savings from reducing demand charges related to delivery, transmission, and capacity demand </t>
  </si>
  <si>
    <t>Customer energy usage (kWh)</t>
  </si>
  <si>
    <t>BGE retail rate or competitive supply contract</t>
  </si>
  <si>
    <t>Re-run the macro if the case is changed</t>
  </si>
  <si>
    <t>Re-iterate the macro if the case is changed</t>
  </si>
  <si>
    <t>Benefit Eligibility by Project Type</t>
  </si>
  <si>
    <t>Customer load during assessment period (kW)</t>
  </si>
  <si>
    <t>CES Spin forecasts &amp; clearing probabilities</t>
  </si>
  <si>
    <t>CES regulation forecasts &amp; clearing probabilities</t>
  </si>
  <si>
    <t>WDS values, BGE retail rate, or competitve supply contract</t>
  </si>
  <si>
    <t>Fixed monthly customer charge</t>
  </si>
  <si>
    <t>Fixed charge that is not impacted by usage</t>
  </si>
  <si>
    <t>WDS values or BGE retail rate</t>
  </si>
  <si>
    <t>Incurred Energy Charges (Cost)</t>
  </si>
  <si>
    <t>Contract Demand Charges Fixed (Cost)</t>
  </si>
  <si>
    <t>Customer Charges/ Fixed Charges (Cost)</t>
  </si>
  <si>
    <t>For C&amp;I projects, export only 
For FTM, BESS net discharge</t>
  </si>
  <si>
    <t>Compensating for energy that is being exported back to the grid</t>
  </si>
  <si>
    <t xml:space="preserve">Net discharge </t>
  </si>
  <si>
    <t>Net discharge</t>
  </si>
  <si>
    <t>Nameplate capacity (kW)</t>
  </si>
  <si>
    <t>$400/kW to be applied at COD</t>
  </si>
  <si>
    <t>EmPOWER values</t>
  </si>
  <si>
    <t>Reducing futue volume of capacity solicited in RPM auctions</t>
  </si>
  <si>
    <t>Reducing future transmission investmnet</t>
  </si>
  <si>
    <t>Reducing future distribution investment</t>
  </si>
  <si>
    <t xml:space="preserve">Reducing carbon emissions </t>
  </si>
  <si>
    <t>DRIPE Energy</t>
  </si>
  <si>
    <t>DRIPE capacity</t>
  </si>
  <si>
    <t>Reducing need for backup generation on site</t>
  </si>
  <si>
    <t>ITC Basis Reduction for Depreciation</t>
  </si>
  <si>
    <t>Debt Service</t>
  </si>
  <si>
    <t>Increase/(Decrease) in Maintenance Reserve and Change in Working Capital</t>
  </si>
  <si>
    <t>Taxes Paid</t>
  </si>
  <si>
    <t>Unlevered returns w/o TV &amp; w/ ITC</t>
  </si>
  <si>
    <t>Returns without TV &amp; w/ ITC</t>
  </si>
  <si>
    <t>PV of Costs</t>
  </si>
  <si>
    <t>PV of Revenue with ITC</t>
  </si>
  <si>
    <t>PV of Gap</t>
  </si>
  <si>
    <t>Capacity price forecast source:</t>
  </si>
  <si>
    <t>ELCC Values Source:</t>
  </si>
  <si>
    <t>Capacity Calculation - For the Market Participants</t>
  </si>
  <si>
    <t>Relevant to FTM - Load Reducer projects?</t>
  </si>
  <si>
    <t>Total Installed Cost</t>
  </si>
  <si>
    <t>Capacity</t>
  </si>
  <si>
    <t>Location</t>
  </si>
  <si>
    <t>Standalone or PV paired?</t>
  </si>
  <si>
    <t>Load Reducer vs. Market Participant</t>
  </si>
  <si>
    <t>5 kW</t>
  </si>
  <si>
    <t>2 hr</t>
  </si>
  <si>
    <t>BG&amp;E Territory</t>
  </si>
  <si>
    <t>Paired</t>
  </si>
  <si>
    <t>Load Reducer</t>
  </si>
  <si>
    <t>25 kW</t>
  </si>
  <si>
    <t>500 kW</t>
  </si>
  <si>
    <t>Standalone</t>
  </si>
  <si>
    <t>4 hr</t>
  </si>
  <si>
    <t>1 MW</t>
  </si>
  <si>
    <t>2 MW</t>
  </si>
  <si>
    <t>Market Participant</t>
  </si>
  <si>
    <t>5 MW</t>
  </si>
  <si>
    <t xml:space="preserve"> Cost</t>
  </si>
  <si>
    <t xml:space="preserve"> Benefits (w/ Grid Services)</t>
  </si>
  <si>
    <t xml:space="preserve"> Benefits w/o Grid Services</t>
  </si>
  <si>
    <t>Use Case</t>
  </si>
  <si>
    <t>EmPOWER values and 2% escalation past 2036</t>
  </si>
  <si>
    <t>PJM ELCC Forecasts and fixing value at 38% past 3025</t>
  </si>
  <si>
    <t>Category</t>
  </si>
  <si>
    <t>Income Tax Rate (Federal + State)</t>
  </si>
  <si>
    <t>Storage Life (Warranty)</t>
  </si>
  <si>
    <t>Financial Gap - Per Unit</t>
  </si>
  <si>
    <t>Financial Gap - Total $</t>
  </si>
  <si>
    <t>Net Present Value</t>
  </si>
  <si>
    <t>Expected Performance Bonus(Penalty) as % of Annual Capacity Revenue</t>
  </si>
  <si>
    <t>For C&amp;I projects, export only 
For FTM and Resi, BESS net discharge</t>
  </si>
  <si>
    <t>Net discharge during events</t>
  </si>
  <si>
    <t>Avg Generation Capacity</t>
  </si>
  <si>
    <t>Avg Transmission Capacity</t>
  </si>
  <si>
    <t>Avg Distribution Capacity</t>
  </si>
  <si>
    <t>Residential - Small (5 kW/10 kWh)</t>
  </si>
  <si>
    <t>Residential - Large (25 kW / 50 kWh)</t>
  </si>
  <si>
    <t>`</t>
  </si>
  <si>
    <t>1-2B</t>
  </si>
  <si>
    <t>Residential - Large (25 kW / 50 kWh) - Sensitivity</t>
  </si>
  <si>
    <t>Disclaimer</t>
  </si>
  <si>
    <t>Contents</t>
  </si>
  <si>
    <t>Cell Style Legend</t>
  </si>
  <si>
    <t>This file contains the following worksheets:</t>
  </si>
  <si>
    <t>Name</t>
  </si>
  <si>
    <t>Description/Purpose</t>
  </si>
  <si>
    <t>Dashboard</t>
  </si>
  <si>
    <t>Inputs</t>
  </si>
  <si>
    <t>July 17, 2026</t>
  </si>
  <si>
    <t>Case Descriptions</t>
  </si>
  <si>
    <t>Benefits Summary</t>
  </si>
  <si>
    <t>Gap Calculator</t>
  </si>
  <si>
    <t>Capacity Values</t>
  </si>
  <si>
    <t>Fin Inputs</t>
  </si>
  <si>
    <t>Draws</t>
  </si>
  <si>
    <t>Fin Statement</t>
  </si>
  <si>
    <t>Outlines the key assumptions for each of the relevant benefit streams</t>
  </si>
  <si>
    <t>Select the desired case and view the resulting financial gap</t>
  </si>
  <si>
    <t>View charts generated from the selected case</t>
  </si>
  <si>
    <t>Key input values such as CapEx and financial assumptions are viewable and editable</t>
  </si>
  <si>
    <t>Annual Income Statement, Cash Flow Statement, and Balance Sheet for the selected investment term</t>
  </si>
  <si>
    <t>Shows monthly drawdowns during construction</t>
  </si>
  <si>
    <t>Shows long-term debt schedule, if applicable</t>
  </si>
  <si>
    <t>###</t>
  </si>
  <si>
    <t>Indicate unit of the parameter</t>
  </si>
  <si>
    <t>Calculated values</t>
  </si>
  <si>
    <t>Instructions to user are in purple text</t>
  </si>
  <si>
    <t>Updating Assumptions</t>
  </si>
  <si>
    <t>Assumption</t>
  </si>
  <si>
    <t>User-Adjustable?</t>
  </si>
  <si>
    <t>Total system cost ($) including contingency percentage</t>
  </si>
  <si>
    <t>Operating expenses and annual escalation</t>
  </si>
  <si>
    <t>Capital structure, including debt/equity split, interest rate, loan tenure, cost of equity, and tax rate</t>
  </si>
  <si>
    <t>Investment Tax Credit (ITC) value</t>
  </si>
  <si>
    <t>Depreciation structure</t>
  </si>
  <si>
    <t>PJM capacity pricing and accreditation value</t>
  </si>
  <si>
    <t>Incorporating new PJM market rules</t>
  </si>
  <si>
    <t>ESS project parameters (capacity, duration, RTE, state-of-charge limitations)</t>
  </si>
  <si>
    <t>Charging rate structure and values</t>
  </si>
  <si>
    <t>Market forecasts other than capacity (energy, ancillary services)</t>
  </si>
  <si>
    <t>Ancillary service participation</t>
  </si>
  <si>
    <t>COD year</t>
  </si>
  <si>
    <t>No, requires external support</t>
  </si>
  <si>
    <t>Project term length</t>
  </si>
  <si>
    <t>Dep-Tax-WC</t>
  </si>
  <si>
    <t>Rev&amp;Exp</t>
  </si>
  <si>
    <t>Describes the sixteen representative cases that were modeled through this exercise</t>
  </si>
  <si>
    <t>View investor returns with dividend pay-out and terminal value calculations</t>
  </si>
  <si>
    <t>Model inputs</t>
  </si>
  <si>
    <t>Modeled Energy Storage Configurations</t>
  </si>
  <si>
    <t>Benefit Category</t>
  </si>
  <si>
    <t>Benefit</t>
  </si>
  <si>
    <t>NPV of Benefits &amp; Costs</t>
  </si>
  <si>
    <t>Project Costs</t>
  </si>
  <si>
    <t>Benefit / Cost Category</t>
  </si>
  <si>
    <t>Benefit / Cost</t>
  </si>
  <si>
    <t>Tax Credit</t>
  </si>
  <si>
    <t>-</t>
  </si>
  <si>
    <t xml:space="preserve">User Inputs </t>
  </si>
  <si>
    <t>Cover</t>
  </si>
  <si>
    <t>Rev &amp; Exp</t>
  </si>
  <si>
    <t>Dx-Connected Energy Storage Financial Gap Calculator</t>
  </si>
  <si>
    <t>View revenue projections for all the use cases which have been directly input from CES | CoMETS - Proprietary optimization tool</t>
  </si>
  <si>
    <t>Values used to calculate Market Participant's capacity revenues are viewable and editable</t>
  </si>
  <si>
    <t>Contains all inputs and underlying assumptions for the financial pro forma</t>
  </si>
  <si>
    <t>Shows financial revenue streams and expenses for the selected use case</t>
  </si>
  <si>
    <t>Depreciation, Tax, and Working Capital calculations</t>
  </si>
  <si>
    <t>One-time avoided cost value of Participant Backup Generator</t>
  </si>
  <si>
    <t>Grid Services Tariff structure and values including defined event periods</t>
  </si>
  <si>
    <t>Incorporating new revenue streams (e.g., changing from being a load reducer to a generation asset)</t>
  </si>
  <si>
    <t>Essential inputs are shaded yellow</t>
  </si>
  <si>
    <t>Technical details, cannot be modified by user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</si>
</sst>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6">
    <numFmt numFmtId="6" formatCode="&quot;$&quot;#,##0_);[Red]\(&quot;$&quot;#,##0\)"/>
    <numFmt numFmtId="8" formatCode="&quot;$&quot;#,##0.00_);[Red]\(&quot;$&quot;#,##0.00\)"/>
    <numFmt numFmtId="41" formatCode="_(* #,##0_);_(* \(#,##0\);_(* &quot;-&quot;_);_(@_)"/>
    <numFmt numFmtId="44" formatCode="_(&quot;$&quot;* #,##0.00_);_(&quot;$&quot;* \(#,##0.00\);_(&quot;$&quot;* &quot;-&quot;??_);_(@_)"/>
    <numFmt numFmtId="43" formatCode="_(* #,##0.00_);_(* \(#,##0.00\);_(* &quot;-&quot;??_);_(@_)"/>
    <numFmt numFmtId="164" formatCode="_ * #,##0.00_ ;_ * \-#,##0.00_ ;_ * &quot;-&quot;??_ ;_ @_ "/>
    <numFmt numFmtId="165" formatCode="_ * #,##0.0_ ;_ * \-#,##0.0_ ;_ * &quot;-&quot;??_ ;_ @_ "/>
    <numFmt numFmtId="166" formatCode="_ * #,##0_ ;_ * \-#,##0_ ;_ * &quot;-&quot;??_ ;_ @_ "/>
    <numFmt numFmtId="167" formatCode="[$$-409]#,##0_ ;\-[$$-409]#,##0\ "/>
    <numFmt numFmtId="168" formatCode="&quot;Yr &quot;General"/>
    <numFmt numFmtId="169" formatCode="&quot;$&quot;#,##0.00"/>
    <numFmt numFmtId="170" formatCode="&quot;$&quot;#,##0"/>
    <numFmt numFmtId="171" formatCode="_(&quot;$&quot;* #,##0_);_(&quot;$&quot;* \(#,##0\);_(&quot;$&quot;* &quot;-&quot;??_);_(@_)"/>
    <numFmt numFmtId="172" formatCode="_(* #,##0_);_(* \(#,##0\);_(* &quot;-&quot;??_);_(@_)"/>
    <numFmt numFmtId="173" formatCode="0.0%"/>
    <numFmt numFmtId="174" formatCode="0.0"/>
    <numFmt numFmtId="175" formatCode="&quot;$&quot;#,##0.0"/>
    <numFmt numFmtId="176" formatCode="_ * #,##0.000_ ;_ * \-#,##0.000_ ;_ * &quot;-&quot;??_ ;_ @_ "/>
    <numFmt numFmtId="177" formatCode="[$$-409]#,##0.00"/>
    <numFmt numFmtId="178" formatCode="[$$-409]#,##0.00_);\([$$-409]#,##0.00\)"/>
    <numFmt numFmtId="179" formatCode="&quot;Yes&quot;;&quot;Error&quot;;&quot;No&quot;;&quot;Error&quot;"/>
    <numFmt numFmtId="180" formatCode="_-[$$-409]* #,##0_ ;_-[$$-409]* \-#,##0\ ;_-[$$-409]* &quot;-&quot;??_ ;_-@_ "/>
    <numFmt numFmtId="181" formatCode="#,##0_);[Red]\(#,##0\);\-"/>
    <numFmt numFmtId="182" formatCode="#,##0\ _$;\-#,##0\ _$"/>
    <numFmt numFmtId="183" formatCode="[$-409]dd\-mmm\-yy;@"/>
    <numFmt numFmtId="184" formatCode="_(* #,##0.00_);_(* \(#,##0.00\);_(* \-??_);_(@_)"/>
    <numFmt numFmtId="185" formatCode="#,##0.00\ _$;\-#,##0.00\ _$"/>
    <numFmt numFmtId="186" formatCode="_([$$-409]* #,##0_);_([$$-409]* \(#,##0\);_([$$-409]* &quot;-&quot;??_);_(@_)"/>
    <numFmt numFmtId="187" formatCode="_-[$$-409]* #,##0.00_ ;_-[$$-409]* \-#,##0.00\ ;_-[$$-409]* &quot;-&quot;??_ ;_-@_ "/>
    <numFmt numFmtId="188" formatCode="#,##0.000\ _$;\-#,##0.000\ _$"/>
    <numFmt numFmtId="189" formatCode="_ * #,##0.0000_ ;_ * \-#,##0.0000_ ;_ * &quot;-&quot;??_ ;_ @_ "/>
    <numFmt numFmtId="190" formatCode="&quot;$&quot;#,##0;[Red]\(&quot;$&quot;#,##0\);&quot;-&quot;"/>
    <numFmt numFmtId="191" formatCode="[$$-409]#,##0.00_ ;\-[$$-409]#,##0.00\ "/>
    <numFmt numFmtId="192" formatCode="mmm\ d\,\ yyyy"/>
    <numFmt numFmtId="193" formatCode="0%;\(0%\);&quot;-&quot;"/>
    <numFmt numFmtId="194" formatCode="0.00%;\(0.00%\);&quot;-&quot;"/>
  </numFmts>
  <fonts count="139" x14ac:knownFonts="1">
    <font>
      <sz val="11"/>
      <color theme="1"/>
      <name val="Calibri"/>
      <family val="2"/>
      <scheme val="minor"/>
    </font>
    <font>
      <sz val="11"/>
      <color theme="1"/>
      <name val="Calibri"/>
      <family val="2"/>
      <scheme val="minor"/>
    </font>
    <font>
      <sz val="12"/>
      <color theme="1"/>
      <name val="Calibri"/>
      <family val="2"/>
      <scheme val="minor"/>
    </font>
    <font>
      <sz val="12"/>
      <name val="Calibri"/>
      <family val="2"/>
      <scheme val="minor"/>
    </font>
    <font>
      <b/>
      <sz val="11"/>
      <color indexed="23"/>
      <name val="Calibri"/>
      <family val="2"/>
    </font>
    <font>
      <b/>
      <sz val="11"/>
      <color theme="1"/>
      <name val="Calibri"/>
      <family val="2"/>
      <scheme val="minor"/>
    </font>
    <font>
      <sz val="11"/>
      <color rgb="FFC00000"/>
      <name val="Calibri"/>
      <family val="2"/>
      <scheme val="minor"/>
    </font>
    <font>
      <i/>
      <sz val="11"/>
      <color theme="0" tint="-0.499984740745262"/>
      <name val="Calibri"/>
      <family val="2"/>
      <scheme val="minor"/>
    </font>
    <font>
      <b/>
      <sz val="14"/>
      <color theme="1"/>
      <name val="Calibri"/>
      <family val="2"/>
      <scheme val="minor"/>
    </font>
    <font>
      <sz val="11"/>
      <color rgb="FF0000FF"/>
      <name val="Calibri"/>
      <family val="2"/>
      <scheme val="minor"/>
    </font>
    <font>
      <sz val="11"/>
      <color rgb="FFFF0000"/>
      <name val="Calibri"/>
      <family val="2"/>
      <scheme val="minor"/>
    </font>
    <font>
      <sz val="11"/>
      <name val="Calibri"/>
      <family val="2"/>
      <scheme val="minor"/>
    </font>
    <font>
      <sz val="11"/>
      <color theme="0" tint="-0.34998626667073579"/>
      <name val="Calibri"/>
      <family val="2"/>
      <scheme val="minor"/>
    </font>
    <font>
      <sz val="11"/>
      <color rgb="FF00B050"/>
      <name val="Calibri"/>
      <family val="2"/>
      <scheme val="minor"/>
    </font>
    <font>
      <sz val="11"/>
      <color theme="5"/>
      <name val="Calibri"/>
      <family val="2"/>
      <scheme val="minor"/>
    </font>
    <font>
      <b/>
      <sz val="11"/>
      <name val="Calibri"/>
      <family val="2"/>
      <scheme val="minor"/>
    </font>
    <font>
      <i/>
      <sz val="11"/>
      <color rgb="FF00B050"/>
      <name val="Calibri"/>
      <family val="2"/>
      <scheme val="minor"/>
    </font>
    <font>
      <i/>
      <sz val="11"/>
      <color theme="1"/>
      <name val="Calibri"/>
      <family val="2"/>
      <scheme val="minor"/>
    </font>
    <font>
      <sz val="11"/>
      <color indexed="8"/>
      <name val="Calibri"/>
      <family val="2"/>
    </font>
    <font>
      <i/>
      <sz val="11"/>
      <color theme="5"/>
      <name val="Calibri"/>
      <family val="2"/>
      <scheme val="minor"/>
    </font>
    <font>
      <i/>
      <sz val="9"/>
      <color theme="0" tint="-0.499984740745262"/>
      <name val="Calibri"/>
      <family val="2"/>
      <scheme val="minor"/>
    </font>
    <font>
      <sz val="11"/>
      <color theme="0"/>
      <name val="Calibri"/>
      <family val="2"/>
      <scheme val="minor"/>
    </font>
    <font>
      <b/>
      <sz val="16"/>
      <color theme="1"/>
      <name val="Calibri"/>
      <family val="2"/>
      <scheme val="minor"/>
    </font>
    <font>
      <i/>
      <sz val="11"/>
      <color rgb="FFFF0000"/>
      <name val="Calibri"/>
      <family val="2"/>
      <scheme val="minor"/>
    </font>
    <font>
      <b/>
      <sz val="20"/>
      <color theme="1"/>
      <name val="Calibri"/>
      <family val="2"/>
      <scheme val="minor"/>
    </font>
    <font>
      <sz val="8"/>
      <name val="Calibri"/>
      <family val="2"/>
      <scheme val="minor"/>
    </font>
    <font>
      <sz val="11"/>
      <color rgb="FF000000"/>
      <name val="Calibri"/>
      <family val="2"/>
      <scheme val="minor"/>
    </font>
    <font>
      <b/>
      <sz val="11"/>
      <color theme="5"/>
      <name val="Calibri"/>
      <family val="2"/>
      <scheme val="minor"/>
    </font>
    <font>
      <b/>
      <sz val="12"/>
      <color theme="1"/>
      <name val="Calibri"/>
      <family val="2"/>
      <scheme val="minor"/>
    </font>
    <font>
      <b/>
      <sz val="11"/>
      <color rgb="FF0000FF"/>
      <name val="Calibri"/>
      <family val="2"/>
      <scheme val="minor"/>
    </font>
    <font>
      <b/>
      <sz val="18"/>
      <color theme="1"/>
      <name val="Calibri"/>
      <family val="2"/>
      <scheme val="minor"/>
    </font>
    <font>
      <b/>
      <i/>
      <sz val="11"/>
      <color theme="1"/>
      <name val="Calibri"/>
      <family val="2"/>
      <scheme val="minor"/>
    </font>
    <font>
      <sz val="11"/>
      <color theme="1"/>
      <name val="Aptos"/>
      <family val="2"/>
    </font>
    <font>
      <b/>
      <sz val="11"/>
      <color rgb="FFFF0000"/>
      <name val="Calibri"/>
      <family val="2"/>
      <scheme val="minor"/>
    </font>
    <font>
      <b/>
      <sz val="11"/>
      <color indexed="8"/>
      <name val="Calibri"/>
      <family val="2"/>
    </font>
    <font>
      <sz val="11"/>
      <color theme="0" tint="-0.499984740745262"/>
      <name val="Calibri"/>
      <family val="2"/>
      <scheme val="minor"/>
    </font>
    <font>
      <sz val="10"/>
      <color indexed="8"/>
      <name val="Tahoma"/>
      <family val="2"/>
    </font>
    <font>
      <sz val="11"/>
      <color theme="0" tint="-0.499984740745262"/>
      <name val="Calibri"/>
      <family val="2"/>
    </font>
    <font>
      <b/>
      <sz val="12"/>
      <color indexed="8"/>
      <name val="Calibri"/>
      <family val="2"/>
    </font>
    <font>
      <sz val="12"/>
      <color indexed="8"/>
      <name val="Calibri"/>
      <family val="2"/>
    </font>
    <font>
      <i/>
      <sz val="12"/>
      <color indexed="8"/>
      <name val="Calibri"/>
      <family val="2"/>
    </font>
    <font>
      <b/>
      <sz val="14"/>
      <color theme="0"/>
      <name val="Calibri"/>
      <family val="2"/>
      <scheme val="minor"/>
    </font>
    <font>
      <sz val="12"/>
      <color theme="0"/>
      <name val="Calibri"/>
      <family val="2"/>
      <scheme val="minor"/>
    </font>
    <font>
      <b/>
      <sz val="12"/>
      <color theme="0"/>
      <name val="Calibri"/>
      <family val="2"/>
      <scheme val="minor"/>
    </font>
    <font>
      <i/>
      <sz val="12"/>
      <color theme="1"/>
      <name val="Calibri"/>
      <family val="2"/>
      <scheme val="minor"/>
    </font>
    <font>
      <sz val="12"/>
      <color rgb="FF00B050"/>
      <name val="Calibri"/>
      <family val="2"/>
      <scheme val="minor"/>
    </font>
    <font>
      <i/>
      <sz val="12"/>
      <color theme="9"/>
      <name val="Calibri"/>
      <family val="2"/>
      <scheme val="minor"/>
    </font>
    <font>
      <sz val="12"/>
      <color rgb="FF0000FF"/>
      <name val="Calibri"/>
      <family val="2"/>
      <scheme val="minor"/>
    </font>
    <font>
      <i/>
      <sz val="12"/>
      <name val="Calibri"/>
      <family val="2"/>
      <scheme val="minor"/>
    </font>
    <font>
      <sz val="12"/>
      <color theme="0" tint="-0.499984740745262"/>
      <name val="Calibri"/>
      <family val="2"/>
      <scheme val="minor"/>
    </font>
    <font>
      <b/>
      <sz val="12"/>
      <name val="Calibri"/>
      <family val="2"/>
      <scheme val="minor"/>
    </font>
    <font>
      <b/>
      <i/>
      <sz val="12"/>
      <color rgb="FFFF0000"/>
      <name val="Calibri"/>
      <family val="2"/>
      <scheme val="minor"/>
    </font>
    <font>
      <sz val="12"/>
      <color theme="9"/>
      <name val="Calibri"/>
      <family val="2"/>
      <scheme val="minor"/>
    </font>
    <font>
      <sz val="12"/>
      <color theme="0" tint="-0.34998626667073579"/>
      <name val="Calibri"/>
      <family val="2"/>
      <scheme val="minor"/>
    </font>
    <font>
      <b/>
      <sz val="12"/>
      <color theme="0" tint="-0.34998626667073579"/>
      <name val="Calibri"/>
      <family val="2"/>
      <scheme val="minor"/>
    </font>
    <font>
      <sz val="10"/>
      <color theme="1"/>
      <name val="Arial"/>
      <family val="2"/>
    </font>
    <font>
      <sz val="12"/>
      <name val="Calibri"/>
      <family val="2"/>
    </font>
    <font>
      <sz val="12"/>
      <color rgb="FF00B050"/>
      <name val="Calibri"/>
      <family val="2"/>
    </font>
    <font>
      <b/>
      <sz val="12"/>
      <color theme="9" tint="-0.499984740745262"/>
      <name val="Calibri"/>
      <family val="2"/>
      <scheme val="minor"/>
    </font>
    <font>
      <b/>
      <sz val="11"/>
      <name val="Calibri"/>
      <family val="2"/>
    </font>
    <font>
      <sz val="11"/>
      <name val="Calibri"/>
      <family val="2"/>
    </font>
    <font>
      <sz val="11"/>
      <color indexed="55"/>
      <name val="Calibri"/>
      <family val="2"/>
    </font>
    <font>
      <sz val="10"/>
      <color indexed="8"/>
      <name val="Calibri"/>
      <family val="2"/>
    </font>
    <font>
      <i/>
      <sz val="10"/>
      <color indexed="8"/>
      <name val="Calibri"/>
      <family val="2"/>
    </font>
    <font>
      <sz val="11"/>
      <color indexed="23"/>
      <name val="Calibri"/>
      <family val="2"/>
    </font>
    <font>
      <b/>
      <sz val="11"/>
      <color theme="1" tint="0.499984740745262"/>
      <name val="Calibri"/>
      <family val="2"/>
      <scheme val="minor"/>
    </font>
    <font>
      <sz val="11"/>
      <name val="Tahoma"/>
      <family val="2"/>
    </font>
    <font>
      <i/>
      <sz val="11"/>
      <color theme="0" tint="-0.34998626667073579"/>
      <name val="Calibri"/>
      <family val="2"/>
    </font>
    <font>
      <sz val="11"/>
      <color indexed="50"/>
      <name val="Calibri"/>
      <family val="2"/>
    </font>
    <font>
      <i/>
      <sz val="11"/>
      <color theme="0" tint="-0.499984740745262"/>
      <name val="Calibri"/>
      <family val="2"/>
    </font>
    <font>
      <sz val="11"/>
      <color rgb="FF00B050"/>
      <name val="Calibri"/>
      <family val="2"/>
    </font>
    <font>
      <sz val="11"/>
      <color rgb="FF0000FF"/>
      <name val="Calibri"/>
      <family val="2"/>
    </font>
    <font>
      <b/>
      <sz val="11"/>
      <color theme="0" tint="-0.499984740745262"/>
      <name val="Calibri"/>
      <family val="2"/>
      <scheme val="minor"/>
    </font>
    <font>
      <b/>
      <sz val="11"/>
      <color rgb="FF00B050"/>
      <name val="Calibri"/>
      <family val="2"/>
      <scheme val="minor"/>
    </font>
    <font>
      <sz val="11"/>
      <color theme="1" tint="0.499984740745262"/>
      <name val="Calibri"/>
      <family val="2"/>
      <scheme val="minor"/>
    </font>
    <font>
      <b/>
      <sz val="16"/>
      <color indexed="8"/>
      <name val="Calibri"/>
      <family val="2"/>
    </font>
    <font>
      <b/>
      <sz val="14"/>
      <color indexed="8"/>
      <name val="Calibri"/>
      <family val="2"/>
    </font>
    <font>
      <i/>
      <sz val="11"/>
      <color rgb="FFFFC000"/>
      <name val="Calibri"/>
      <family val="2"/>
      <scheme val="minor"/>
    </font>
    <font>
      <sz val="11"/>
      <color rgb="FFFFC000"/>
      <name val="Calibri"/>
      <family val="2"/>
      <scheme val="minor"/>
    </font>
    <font>
      <sz val="11"/>
      <color theme="8"/>
      <name val="Calibri"/>
      <family val="2"/>
      <scheme val="minor"/>
    </font>
    <font>
      <sz val="11"/>
      <color indexed="57"/>
      <name val="Calibri"/>
      <family val="2"/>
    </font>
    <font>
      <sz val="11"/>
      <color indexed="43"/>
      <name val="Calibri"/>
      <family val="2"/>
    </font>
    <font>
      <sz val="10"/>
      <name val="Arial"/>
      <family val="2"/>
    </font>
    <font>
      <sz val="11"/>
      <color indexed="10"/>
      <name val="Calibri"/>
      <family val="2"/>
    </font>
    <font>
      <b/>
      <sz val="11"/>
      <color indexed="10"/>
      <name val="Calibri"/>
      <family val="2"/>
    </font>
    <font>
      <sz val="11"/>
      <color indexed="12"/>
      <name val="Calibri"/>
      <family val="2"/>
    </font>
    <font>
      <sz val="14"/>
      <color rgb="FF000000"/>
      <name val="Aptos Narrow"/>
      <family val="2"/>
    </font>
    <font>
      <sz val="11"/>
      <color theme="1"/>
      <name val="Calibri"/>
      <family val="2"/>
      <scheme val="minor"/>
    </font>
    <font>
      <sz val="12"/>
      <color rgb="FFFF0000"/>
      <name val="Calibri"/>
      <family val="2"/>
      <scheme val="minor"/>
    </font>
    <font>
      <b/>
      <sz val="12"/>
      <color rgb="FFFF0000"/>
      <name val="Calibri"/>
      <family val="2"/>
      <scheme val="minor"/>
    </font>
    <font>
      <sz val="12"/>
      <color theme="1"/>
      <name val="Calibri"/>
      <family val="2"/>
    </font>
    <font>
      <sz val="14"/>
      <color theme="1"/>
      <name val="Calibri"/>
      <family val="2"/>
      <scheme val="minor"/>
    </font>
    <font>
      <b/>
      <sz val="12"/>
      <color rgb="FF00B050"/>
      <name val="Calibri"/>
      <family val="2"/>
      <scheme val="minor"/>
    </font>
    <font>
      <sz val="18"/>
      <name val="Calibri"/>
      <family val="2"/>
      <scheme val="minor"/>
    </font>
    <font>
      <b/>
      <sz val="18"/>
      <name val="Calibri"/>
      <family val="2"/>
      <scheme val="minor"/>
    </font>
    <font>
      <sz val="11"/>
      <color theme="9"/>
      <name val="Calibri"/>
      <family val="2"/>
      <scheme val="minor"/>
    </font>
    <font>
      <i/>
      <sz val="12"/>
      <color theme="0" tint="-0.34998626667073579"/>
      <name val="Calibri"/>
      <family val="2"/>
      <scheme val="minor"/>
    </font>
    <font>
      <sz val="11"/>
      <color theme="2" tint="-0.249977111117893"/>
      <name val="Calibri"/>
      <family val="2"/>
      <scheme val="minor"/>
    </font>
    <font>
      <b/>
      <sz val="11"/>
      <color theme="2" tint="-0.249977111117893"/>
      <name val="Calibri"/>
      <family val="2"/>
      <scheme val="minor"/>
    </font>
    <font>
      <sz val="14"/>
      <color theme="1"/>
      <name val="Aptos"/>
      <family val="2"/>
    </font>
    <font>
      <sz val="12"/>
      <color rgb="FF000000"/>
      <name val="Aptos Narrow"/>
      <family val="2"/>
    </font>
    <font>
      <sz val="12"/>
      <color theme="1"/>
      <name val="Aptos Narrow"/>
      <family val="2"/>
    </font>
    <font>
      <b/>
      <sz val="16"/>
      <name val="Calibri"/>
      <family val="2"/>
      <scheme val="minor"/>
    </font>
    <font>
      <sz val="11"/>
      <color rgb="FF7030A0"/>
      <name val="Calibri"/>
      <family val="2"/>
      <scheme val="minor"/>
    </font>
    <font>
      <b/>
      <sz val="11"/>
      <color rgb="FFC00000"/>
      <name val="Calibri"/>
      <family val="2"/>
      <scheme val="minor"/>
    </font>
    <font>
      <sz val="11"/>
      <color theme="1"/>
      <name val="Calibri"/>
      <family val="2"/>
    </font>
    <font>
      <sz val="11"/>
      <color rgb="FFFF0000"/>
      <name val="Calibri"/>
      <family val="2"/>
    </font>
    <font>
      <b/>
      <sz val="13"/>
      <color rgb="FFFFFFFF"/>
      <name val="Arial"/>
      <family val="2"/>
    </font>
    <font>
      <sz val="8"/>
      <color rgb="FF648C1A"/>
      <name val="Arial"/>
      <family val="2"/>
    </font>
    <font>
      <b/>
      <sz val="11"/>
      <color rgb="FFFFFFFF"/>
      <name val="Arial"/>
      <family val="2"/>
    </font>
    <font>
      <sz val="8"/>
      <name val="Arial"/>
      <family val="2"/>
    </font>
    <font>
      <b/>
      <sz val="8"/>
      <color rgb="FFFFFFFF"/>
      <name val="Arial"/>
      <family val="2"/>
    </font>
    <font>
      <sz val="8"/>
      <color rgb="FF0070C0"/>
      <name val="Arial"/>
      <family val="2"/>
    </font>
    <font>
      <b/>
      <sz val="8"/>
      <color rgb="FF0070C0"/>
      <name val="Arial"/>
      <family val="2"/>
    </font>
    <font>
      <sz val="8"/>
      <color rgb="FF0000FF"/>
      <name val="Arial"/>
      <family val="2"/>
    </font>
    <font>
      <sz val="8"/>
      <color theme="5"/>
      <name val="Arial"/>
      <family val="2"/>
    </font>
    <font>
      <sz val="8"/>
      <color rgb="FF00B050"/>
      <name val="Arial"/>
      <family val="2"/>
    </font>
    <font>
      <sz val="8"/>
      <color theme="1"/>
      <name val="Arial"/>
      <family val="2"/>
    </font>
    <font>
      <sz val="8"/>
      <color rgb="FF7030A0"/>
      <name val="Arial"/>
      <family val="2"/>
    </font>
    <font>
      <b/>
      <sz val="11"/>
      <color theme="0"/>
      <name val="Calibri"/>
      <family val="2"/>
      <scheme val="minor"/>
    </font>
    <font>
      <sz val="11"/>
      <color rgb="FF000000"/>
      <name val="Calibri"/>
      <family val="2"/>
    </font>
    <font>
      <sz val="11"/>
      <color theme="1"/>
      <name val="Arial"/>
      <family val="2"/>
    </font>
    <font>
      <b/>
      <sz val="10"/>
      <color rgb="FFFFFFFF"/>
      <name val="Arial"/>
      <family val="2"/>
    </font>
    <font>
      <sz val="10"/>
      <color rgb="FF000000"/>
      <name val="Arial"/>
      <family val="2"/>
    </font>
    <font>
      <b/>
      <sz val="22"/>
      <color rgb="FFFFFFFF"/>
      <name val="Arial"/>
      <family val="2"/>
    </font>
    <font>
      <sz val="12"/>
      <color theme="2" tint="-0.249977111117893"/>
      <name val="Arial"/>
      <family val="2"/>
    </font>
    <font>
      <sz val="12"/>
      <color rgb="FF1F4E78"/>
      <name val="Calibri"/>
      <family val="2"/>
      <scheme val="minor"/>
    </font>
    <font>
      <sz val="12"/>
      <color rgb="FF000000"/>
      <name val="Calibri"/>
      <family val="2"/>
      <scheme val="minor"/>
    </font>
    <font>
      <b/>
      <sz val="12"/>
      <color rgb="FF1F4E78"/>
      <name val="Calibri"/>
      <family val="2"/>
      <scheme val="minor"/>
    </font>
    <font>
      <sz val="12"/>
      <color theme="2" tint="-0.249977111117893"/>
      <name val="Calibri"/>
      <family val="2"/>
      <scheme val="minor"/>
    </font>
    <font>
      <b/>
      <sz val="13"/>
      <name val="Arial"/>
      <family val="2"/>
    </font>
    <font>
      <b/>
      <sz val="13"/>
      <color theme="1"/>
      <name val="Calibri"/>
      <family val="2"/>
      <scheme val="minor"/>
    </font>
    <font>
      <b/>
      <sz val="14"/>
      <color rgb="FFFFFFFF"/>
      <name val="Arial"/>
      <family val="2"/>
    </font>
    <font>
      <b/>
      <sz val="16"/>
      <color rgb="FFFFFFFF"/>
      <name val="Arial"/>
      <family val="2"/>
    </font>
    <font>
      <b/>
      <sz val="20"/>
      <color rgb="FFFFFFFF"/>
      <name val="Arial"/>
      <family val="2"/>
    </font>
    <font>
      <b/>
      <sz val="20"/>
      <name val="Arial"/>
      <family val="2"/>
    </font>
    <font>
      <b/>
      <sz val="16"/>
      <color theme="0"/>
      <name val="Calibri"/>
      <family val="2"/>
      <scheme val="minor"/>
    </font>
    <font>
      <sz val="16"/>
      <color theme="1"/>
      <name val="Calibri"/>
      <family val="2"/>
      <scheme val="minor"/>
    </font>
    <font>
      <b/>
      <sz val="18"/>
      <color theme="0"/>
      <name val="Calibri"/>
      <family val="2"/>
      <scheme val="minor"/>
    </font>
  </fonts>
  <fills count="40">
    <fill>
      <patternFill patternType="none"/>
    </fill>
    <fill>
      <patternFill patternType="gray125"/>
    </fill>
    <fill>
      <patternFill patternType="solid">
        <fgColor theme="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009999"/>
        <bgColor indexed="64"/>
      </patternFill>
    </fill>
    <fill>
      <patternFill patternType="solid">
        <fgColor rgb="FFFFFFCC"/>
        <bgColor indexed="64"/>
      </patternFill>
    </fill>
    <fill>
      <patternFill patternType="solid">
        <fgColor rgb="FF226699"/>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rgb="FFFFFF99"/>
        <bgColor indexed="64"/>
      </patternFill>
    </fill>
    <fill>
      <patternFill patternType="solid">
        <fgColor theme="2" tint="-0.249977111117893"/>
        <bgColor indexed="64"/>
      </patternFill>
    </fill>
    <fill>
      <patternFill patternType="gray125">
        <fgColor indexed="10"/>
        <bgColor indexed="9"/>
      </patternFill>
    </fill>
    <fill>
      <patternFill patternType="solid">
        <fgColor indexed="51"/>
        <bgColor indexed="64"/>
      </patternFill>
    </fill>
    <fill>
      <patternFill patternType="solid">
        <fgColor theme="8" tint="0.79998168889431442"/>
        <bgColor indexed="64"/>
      </patternFill>
    </fill>
    <fill>
      <patternFill patternType="solid">
        <fgColor rgb="FFFFFFFF"/>
        <bgColor indexed="64"/>
      </patternFill>
    </fill>
    <fill>
      <patternFill patternType="solid">
        <fgColor theme="7" tint="0.59999389629810485"/>
        <bgColor indexed="64"/>
      </patternFill>
    </fill>
    <fill>
      <patternFill patternType="solid">
        <fgColor rgb="FF555759"/>
        <bgColor indexed="64"/>
      </patternFill>
    </fill>
    <fill>
      <patternFill patternType="solid">
        <fgColor rgb="FFFFF1D1"/>
        <bgColor indexed="64"/>
      </patternFill>
    </fill>
    <fill>
      <patternFill patternType="solid">
        <fgColor rgb="FFFFE3A2"/>
        <bgColor indexed="64"/>
      </patternFill>
    </fill>
    <fill>
      <patternFill patternType="solid">
        <fgColor rgb="FFEDFFC4"/>
        <bgColor indexed="64"/>
      </patternFill>
    </fill>
    <fill>
      <patternFill patternType="solid">
        <fgColor rgb="FFDDF2B8"/>
        <bgColor indexed="64"/>
      </patternFill>
    </fill>
    <fill>
      <patternFill patternType="solid">
        <fgColor rgb="FFCCEB8D"/>
        <bgColor indexed="64"/>
      </patternFill>
    </fill>
    <fill>
      <patternFill patternType="solid">
        <fgColor rgb="FF648C1A"/>
        <bgColor indexed="64"/>
      </patternFill>
    </fill>
    <fill>
      <patternFill patternType="solid">
        <fgColor rgb="FFC1EEFF"/>
        <bgColor indexed="64"/>
      </patternFill>
    </fill>
    <fill>
      <patternFill patternType="solid">
        <fgColor rgb="FFF7E2FA"/>
        <bgColor indexed="64"/>
      </patternFill>
    </fill>
    <fill>
      <patternFill patternType="solid">
        <fgColor theme="9" tint="0.59999389629810485"/>
        <bgColor indexed="64"/>
      </patternFill>
    </fill>
    <fill>
      <patternFill patternType="solid">
        <fgColor rgb="FF305496"/>
        <bgColor indexed="64"/>
      </patternFill>
    </fill>
    <fill>
      <patternFill patternType="solid">
        <fgColor theme="2" tint="-0.499984740745262"/>
        <bgColor indexed="64"/>
      </patternFill>
    </fill>
    <fill>
      <patternFill patternType="solid">
        <fgColor rgb="FFE7E6E6"/>
        <bgColor indexed="64"/>
      </patternFill>
    </fill>
  </fills>
  <borders count="151">
    <border>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rgb="FF006666"/>
      </left>
      <right/>
      <top style="thin">
        <color rgb="FF006666"/>
      </top>
      <bottom style="thin">
        <color rgb="FF006666"/>
      </bottom>
      <diagonal/>
    </border>
    <border>
      <left/>
      <right/>
      <top style="thin">
        <color rgb="FF006666"/>
      </top>
      <bottom style="thin">
        <color rgb="FF006666"/>
      </bottom>
      <diagonal/>
    </border>
    <border>
      <left/>
      <right/>
      <top style="thin">
        <color rgb="FF006666"/>
      </top>
      <bottom/>
      <diagonal/>
    </border>
    <border>
      <left/>
      <right style="thin">
        <color rgb="FF006666"/>
      </right>
      <top style="thin">
        <color rgb="FF006666"/>
      </top>
      <bottom style="thin">
        <color rgb="FF006666"/>
      </bottom>
      <diagonal/>
    </border>
    <border>
      <left style="thin">
        <color rgb="FF006666"/>
      </left>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rgb="FF006666"/>
      </right>
      <top/>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rgb="FF006666"/>
      </left>
      <right/>
      <top/>
      <bottom style="thin">
        <color rgb="FF006666"/>
      </bottom>
      <diagonal/>
    </border>
    <border>
      <left/>
      <right/>
      <top/>
      <bottom style="thin">
        <color rgb="FF006666"/>
      </bottom>
      <diagonal/>
    </border>
    <border>
      <left/>
      <right style="thin">
        <color rgb="FF006666"/>
      </right>
      <top/>
      <bottom style="thin">
        <color rgb="FF006666"/>
      </bottom>
      <diagonal/>
    </border>
    <border>
      <left style="thin">
        <color rgb="FF006666"/>
      </left>
      <right/>
      <top style="thin">
        <color rgb="FF006666"/>
      </top>
      <bottom/>
      <diagonal/>
    </border>
    <border>
      <left/>
      <right style="thin">
        <color rgb="FF006666"/>
      </right>
      <top style="thin">
        <color rgb="FF006666"/>
      </top>
      <bottom/>
      <diagonal/>
    </border>
    <border>
      <left style="thin">
        <color rgb="FF006666"/>
      </left>
      <right style="thin">
        <color rgb="FF006666"/>
      </right>
      <top style="thin">
        <color rgb="FF006666"/>
      </top>
      <bottom style="thin">
        <color rgb="FF006666"/>
      </bottom>
      <diagonal/>
    </border>
    <border>
      <left/>
      <right/>
      <top/>
      <bottom style="medium">
        <color indexed="8"/>
      </bottom>
      <diagonal/>
    </border>
    <border>
      <left/>
      <right/>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top/>
      <bottom style="medium">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style="thin">
        <color theme="1"/>
      </right>
      <top/>
      <bottom style="thin">
        <color theme="1"/>
      </bottom>
      <diagonal/>
    </border>
    <border>
      <left/>
      <right/>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style="thin">
        <color auto="1"/>
      </left>
      <right style="thin">
        <color auto="1"/>
      </right>
      <top style="thin">
        <color auto="1"/>
      </top>
      <bottom style="thin">
        <color auto="1"/>
      </bottom>
      <diagonal/>
    </border>
    <border>
      <left/>
      <right style="thin">
        <color auto="1"/>
      </right>
      <top/>
      <bottom style="medium">
        <color auto="1"/>
      </bottom>
      <diagonal/>
    </border>
    <border>
      <left/>
      <right/>
      <top/>
      <bottom style="thin">
        <color auto="1"/>
      </bottom>
      <diagonal/>
    </border>
    <border>
      <left/>
      <right/>
      <top/>
      <bottom style="thin">
        <color indexed="63"/>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bottom/>
      <diagonal/>
    </border>
    <border>
      <left style="medium">
        <color rgb="FF000000"/>
      </left>
      <right/>
      <top/>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BFBFBF"/>
      </right>
      <top/>
      <bottom style="thin">
        <color rgb="FFBFBFBF"/>
      </bottom>
      <diagonal/>
    </border>
    <border>
      <left/>
      <right style="thin">
        <color rgb="FFBFBFBF"/>
      </right>
      <top style="thin">
        <color rgb="FFBFBFBF"/>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style="thin">
        <color indexed="64"/>
      </left>
      <right/>
      <top/>
      <bottom style="thin">
        <color auto="1"/>
      </bottom>
      <diagonal/>
    </border>
    <border>
      <left/>
      <right/>
      <top style="thin">
        <color indexed="64"/>
      </top>
      <bottom/>
      <diagonal/>
    </border>
    <border>
      <left/>
      <right style="thin">
        <color indexed="64"/>
      </right>
      <top style="thin">
        <color indexed="64"/>
      </top>
      <bottom/>
      <diagonal/>
    </border>
    <border>
      <left/>
      <right style="thin">
        <color auto="1"/>
      </right>
      <top/>
      <bottom style="thin">
        <color auto="1"/>
      </bottom>
      <diagonal/>
    </border>
    <border>
      <left/>
      <right/>
      <top/>
      <bottom style="thick">
        <color rgb="FF95D600"/>
      </bottom>
      <diagonal/>
    </border>
    <border>
      <left/>
      <right/>
      <top/>
      <bottom style="medium">
        <color rgb="FF95D600"/>
      </bottom>
      <diagonal/>
    </border>
    <border>
      <left style="hair">
        <color rgb="FFB9BBBD"/>
      </left>
      <right style="hair">
        <color rgb="FFB9BBBD"/>
      </right>
      <top style="hair">
        <color rgb="FFB9BBBD"/>
      </top>
      <bottom style="hair">
        <color rgb="FFB9BBBD"/>
      </bottom>
      <diagonal/>
    </border>
    <border>
      <left/>
      <right/>
      <top/>
      <bottom style="hair">
        <color rgb="FF95D600"/>
      </bottom>
      <diagonal/>
    </border>
    <border>
      <left style="hair">
        <color rgb="FFBBBCBD"/>
      </left>
      <right style="hair">
        <color rgb="FFBBBCBD"/>
      </right>
      <top style="hair">
        <color rgb="FFBBBCBD"/>
      </top>
      <bottom style="hair">
        <color rgb="FFBBBCBD"/>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right/>
      <top/>
      <bottom style="medium">
        <color theme="8"/>
      </bottom>
      <diagonal/>
    </border>
    <border>
      <left/>
      <right/>
      <top/>
      <bottom style="thin">
        <color theme="8"/>
      </bottom>
      <diagonal/>
    </border>
    <border>
      <left/>
      <right style="thin">
        <color theme="8"/>
      </right>
      <top/>
      <bottom style="thin">
        <color theme="8"/>
      </bottom>
      <diagonal/>
    </border>
    <border>
      <left/>
      <right/>
      <top style="hair">
        <color rgb="FF95D600"/>
      </top>
      <bottom style="thin">
        <color theme="8"/>
      </bottom>
      <diagonal/>
    </border>
    <border>
      <left style="medium">
        <color theme="8"/>
      </left>
      <right style="medium">
        <color theme="8"/>
      </right>
      <top style="medium">
        <color theme="8"/>
      </top>
      <bottom style="medium">
        <color theme="8"/>
      </bottom>
      <diagonal/>
    </border>
    <border>
      <left style="medium">
        <color theme="1"/>
      </left>
      <right style="medium">
        <color theme="1"/>
      </right>
      <top style="medium">
        <color theme="1"/>
      </top>
      <bottom style="medium">
        <color theme="1"/>
      </bottom>
      <diagonal/>
    </border>
    <border>
      <left style="medium">
        <color theme="1"/>
      </left>
      <right style="medium">
        <color theme="1"/>
      </right>
      <top style="medium">
        <color theme="1"/>
      </top>
      <bottom style="thin">
        <color indexed="64"/>
      </bottom>
      <diagonal/>
    </border>
    <border>
      <left style="medium">
        <color theme="1"/>
      </left>
      <right style="medium">
        <color theme="1"/>
      </right>
      <top style="thin">
        <color indexed="64"/>
      </top>
      <bottom style="medium">
        <color theme="1"/>
      </bottom>
      <diagonal/>
    </border>
    <border>
      <left style="medium">
        <color theme="1"/>
      </left>
      <right style="thin">
        <color rgb="FFBFBFBF"/>
      </right>
      <top style="medium">
        <color theme="1"/>
      </top>
      <bottom style="medium">
        <color theme="1"/>
      </bottom>
      <diagonal/>
    </border>
    <border>
      <left style="thin">
        <color rgb="FFBFBFBF"/>
      </left>
      <right style="thin">
        <color rgb="FFBFBFBF"/>
      </right>
      <top style="medium">
        <color theme="1"/>
      </top>
      <bottom style="medium">
        <color theme="1"/>
      </bottom>
      <diagonal/>
    </border>
    <border>
      <left style="thin">
        <color rgb="FFBFBFBF"/>
      </left>
      <right style="medium">
        <color theme="1"/>
      </right>
      <top style="medium">
        <color theme="1"/>
      </top>
      <bottom style="medium">
        <color theme="1"/>
      </bottom>
      <diagonal/>
    </border>
    <border>
      <left/>
      <right style="thin">
        <color rgb="FFBFBFBF"/>
      </right>
      <top style="medium">
        <color theme="1"/>
      </top>
      <bottom style="medium">
        <color theme="1"/>
      </bottom>
      <diagonal/>
    </border>
    <border>
      <left style="medium">
        <color theme="1"/>
      </left>
      <right style="medium">
        <color theme="1"/>
      </right>
      <top style="thin">
        <color indexed="64"/>
      </top>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style="medium">
        <color theme="1"/>
      </left>
      <right style="medium">
        <color theme="1"/>
      </right>
      <top style="thin">
        <color indexed="64"/>
      </top>
      <bottom style="thin">
        <color indexed="64"/>
      </bottom>
      <diagonal/>
    </border>
    <border>
      <left style="medium">
        <color theme="1"/>
      </left>
      <right style="medium">
        <color theme="1"/>
      </right>
      <top/>
      <bottom style="thin">
        <color indexed="64"/>
      </bottom>
      <diagonal/>
    </border>
    <border>
      <left/>
      <right style="medium">
        <color theme="1"/>
      </right>
      <top style="medium">
        <color theme="1"/>
      </top>
      <bottom style="medium">
        <color theme="1"/>
      </bottom>
      <diagonal/>
    </border>
    <border>
      <left style="thin">
        <color rgb="FFBFBFBF"/>
      </left>
      <right/>
      <top style="medium">
        <color theme="1"/>
      </top>
      <bottom style="medium">
        <color theme="1"/>
      </bottom>
      <diagonal/>
    </border>
    <border>
      <left style="medium">
        <color theme="1"/>
      </left>
      <right/>
      <top/>
      <bottom style="medium">
        <color theme="1"/>
      </bottom>
      <diagonal/>
    </border>
    <border>
      <left/>
      <right/>
      <top style="medium">
        <color theme="1"/>
      </top>
      <bottom style="medium">
        <color theme="1"/>
      </bottom>
      <diagonal/>
    </border>
    <border>
      <left/>
      <right style="medium">
        <color theme="1"/>
      </right>
      <top/>
      <bottom/>
      <diagonal/>
    </border>
    <border>
      <left/>
      <right style="medium">
        <color theme="1"/>
      </right>
      <top/>
      <bottom style="medium">
        <color theme="1"/>
      </bottom>
      <diagonal/>
    </border>
    <border>
      <left/>
      <right style="medium">
        <color theme="1"/>
      </right>
      <top style="medium">
        <color theme="1"/>
      </top>
      <bottom/>
      <diagonal/>
    </border>
    <border>
      <left style="medium">
        <color theme="1"/>
      </left>
      <right style="medium">
        <color theme="1"/>
      </right>
      <top style="medium">
        <color indexed="64"/>
      </top>
      <bottom style="thin">
        <color rgb="FFBFBFBF"/>
      </bottom>
      <diagonal/>
    </border>
    <border>
      <left style="medium">
        <color theme="1"/>
      </left>
      <right style="medium">
        <color theme="1"/>
      </right>
      <top style="thin">
        <color rgb="FFBFBFBF"/>
      </top>
      <bottom style="thin">
        <color rgb="FFBFBFBF"/>
      </bottom>
      <diagonal/>
    </border>
    <border>
      <left style="medium">
        <color theme="1"/>
      </left>
      <right style="medium">
        <color theme="1"/>
      </right>
      <top style="thin">
        <color rgb="FFBFBFBF"/>
      </top>
      <bottom/>
      <diagonal/>
    </border>
    <border>
      <left style="medium">
        <color theme="1"/>
      </left>
      <right style="medium">
        <color theme="1"/>
      </right>
      <top/>
      <bottom style="thin">
        <color rgb="FFBFBFBF"/>
      </bottom>
      <diagonal/>
    </border>
    <border>
      <left style="medium">
        <color theme="1"/>
      </left>
      <right style="medium">
        <color theme="1"/>
      </right>
      <top style="thin">
        <color rgb="FFBFBFBF"/>
      </top>
      <bottom style="medium">
        <color theme="1"/>
      </bottom>
      <diagonal/>
    </border>
    <border>
      <left style="medium">
        <color indexed="64"/>
      </left>
      <right style="medium">
        <color theme="1"/>
      </right>
      <top style="medium">
        <color indexed="64"/>
      </top>
      <bottom style="medium">
        <color indexed="64"/>
      </bottom>
      <diagonal/>
    </border>
    <border>
      <left/>
      <right style="medium">
        <color theme="1"/>
      </right>
      <top/>
      <bottom style="thin">
        <color rgb="FFBFBFBF"/>
      </bottom>
      <diagonal/>
    </border>
    <border>
      <left/>
      <right style="medium">
        <color theme="1"/>
      </right>
      <top style="thin">
        <color rgb="FFBFBFBF"/>
      </top>
      <bottom style="thin">
        <color rgb="FFBFBFBF"/>
      </bottom>
      <diagonal/>
    </border>
    <border>
      <left/>
      <right style="medium">
        <color theme="1"/>
      </right>
      <top style="thin">
        <color rgb="FFBFBFBF"/>
      </top>
      <bottom/>
      <diagonal/>
    </border>
    <border>
      <left style="medium">
        <color theme="1"/>
      </left>
      <right/>
      <top/>
      <bottom/>
      <diagonal/>
    </border>
    <border>
      <left style="medium">
        <color theme="1"/>
      </left>
      <right/>
      <top style="medium">
        <color theme="1"/>
      </top>
      <bottom/>
      <diagonal/>
    </border>
    <border>
      <left/>
      <right/>
      <top style="medium">
        <color theme="1"/>
      </top>
      <bottom/>
      <diagonal/>
    </border>
    <border>
      <left style="medium">
        <color theme="1"/>
      </left>
      <right style="thin">
        <color rgb="FFBFBFBF"/>
      </right>
      <top style="thin">
        <color rgb="FFBFBFBF"/>
      </top>
      <bottom style="medium">
        <color indexed="64"/>
      </bottom>
      <diagonal/>
    </border>
    <border>
      <left/>
      <right style="medium">
        <color indexed="64"/>
      </right>
      <top style="medium">
        <color theme="1"/>
      </top>
      <bottom style="medium">
        <color theme="1"/>
      </bottom>
      <diagonal/>
    </border>
    <border>
      <left/>
      <right style="medium">
        <color indexed="64"/>
      </right>
      <top/>
      <bottom style="thin">
        <color rgb="FFBFBFBF"/>
      </bottom>
      <diagonal/>
    </border>
    <border>
      <left/>
      <right style="medium">
        <color indexed="64"/>
      </right>
      <top style="thin">
        <color rgb="FFBFBFBF"/>
      </top>
      <bottom style="medium">
        <color indexed="64"/>
      </bottom>
      <diagonal/>
    </border>
    <border>
      <left style="medium">
        <color theme="1"/>
      </left>
      <right style="thin">
        <color rgb="FFBFBFBF"/>
      </right>
      <top style="medium">
        <color indexed="64"/>
      </top>
      <bottom style="medium">
        <color indexed="64"/>
      </bottom>
      <diagonal/>
    </border>
    <border>
      <left/>
      <right style="thin">
        <color rgb="FFBFBFBF"/>
      </right>
      <top style="medium">
        <color indexed="64"/>
      </top>
      <bottom style="medium">
        <color indexed="64"/>
      </bottom>
      <diagonal/>
    </border>
    <border>
      <left/>
      <right/>
      <top style="thin">
        <color rgb="FF808080"/>
      </top>
      <bottom/>
      <diagonal/>
    </border>
    <border>
      <left/>
      <right/>
      <top/>
      <bottom style="thin">
        <color rgb="FF808080"/>
      </bottom>
      <diagonal/>
    </border>
    <border>
      <left style="thin">
        <color rgb="FF808080"/>
      </left>
      <right/>
      <top style="thin">
        <color rgb="FF808080"/>
      </top>
      <bottom/>
      <diagonal/>
    </border>
    <border>
      <left style="thin">
        <color rgb="FF808080"/>
      </left>
      <right/>
      <top/>
      <bottom style="thin">
        <color rgb="FF808080"/>
      </bottom>
      <diagonal/>
    </border>
    <border>
      <left/>
      <right style="thin">
        <color rgb="FF808080"/>
      </right>
      <top style="thin">
        <color rgb="FF808080"/>
      </top>
      <bottom/>
      <diagonal/>
    </border>
    <border>
      <left/>
      <right style="thin">
        <color rgb="FF808080"/>
      </right>
      <top/>
      <bottom style="thin">
        <color rgb="FF808080"/>
      </bottom>
      <diagonal/>
    </border>
    <border>
      <left style="thin">
        <color rgb="FF808080"/>
      </left>
      <right/>
      <top/>
      <bottom/>
      <diagonal/>
    </border>
    <border>
      <left/>
      <right style="thin">
        <color rgb="FF808080"/>
      </right>
      <top/>
      <bottom/>
      <diagonal/>
    </border>
    <border>
      <left style="thin">
        <color rgb="FF808080"/>
      </left>
      <right/>
      <top style="thin">
        <color rgb="FF808080"/>
      </top>
      <bottom style="medium">
        <color rgb="FF808080"/>
      </bottom>
      <diagonal/>
    </border>
    <border>
      <left/>
      <right/>
      <top style="thin">
        <color rgb="FF808080"/>
      </top>
      <bottom style="medium">
        <color rgb="FF808080"/>
      </bottom>
      <diagonal/>
    </border>
    <border>
      <left/>
      <right style="thin">
        <color rgb="FF808080"/>
      </right>
      <top style="thin">
        <color rgb="FF808080"/>
      </top>
      <bottom style="medium">
        <color rgb="FF808080"/>
      </bottom>
      <diagonal/>
    </border>
    <border>
      <left style="thin">
        <color theme="8"/>
      </left>
      <right/>
      <top/>
      <bottom style="thin">
        <color theme="8"/>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s>
  <cellStyleXfs count="3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7" fontId="1" fillId="0" borderId="0"/>
    <xf numFmtId="43" fontId="1" fillId="0" borderId="0" applyFont="0" applyFill="0" applyBorder="0" applyAlignment="0" applyProtection="0"/>
    <xf numFmtId="164" fontId="1" fillId="0" borderId="0" applyFont="0" applyFill="0" applyBorder="0" applyAlignment="0" applyProtection="0"/>
    <xf numFmtId="181" fontId="36" fillId="0" borderId="0"/>
    <xf numFmtId="0" fontId="55" fillId="0" borderId="0"/>
    <xf numFmtId="164" fontId="18" fillId="0" borderId="0" applyFont="0" applyFill="0" applyBorder="0" applyAlignment="0" applyProtection="0"/>
    <xf numFmtId="184" fontId="66" fillId="0" borderId="0" applyFont="0" applyFill="0" applyBorder="0" applyAlignment="0" applyProtection="0"/>
    <xf numFmtId="43" fontId="1"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181" fontId="82" fillId="0" borderId="0" applyFont="0" applyFill="0" applyBorder="0" applyAlignment="0" applyProtection="0"/>
    <xf numFmtId="0" fontId="108" fillId="0" borderId="0" applyNumberFormat="0" applyFill="0" applyBorder="0" applyAlignment="0">
      <alignment vertical="top"/>
    </xf>
    <xf numFmtId="0" fontId="110" fillId="28" borderId="87" applyNumberFormat="0" applyAlignment="0">
      <alignment vertical="top"/>
      <protection locked="0"/>
    </xf>
    <xf numFmtId="0" fontId="111" fillId="27" borderId="86" applyNumberFormat="0">
      <alignment vertical="center" wrapText="1"/>
    </xf>
    <xf numFmtId="0" fontId="110" fillId="0" borderId="88" applyNumberFormat="0"/>
    <xf numFmtId="0" fontId="110" fillId="29" borderId="87" applyNumberFormat="0" applyAlignment="0">
      <alignment vertical="top"/>
      <protection locked="0"/>
    </xf>
    <xf numFmtId="0" fontId="110" fillId="30" borderId="89" applyNumberFormat="0" applyAlignment="0"/>
    <xf numFmtId="0" fontId="110" fillId="31" borderId="89" applyNumberFormat="0" applyAlignment="0"/>
    <xf numFmtId="0" fontId="110" fillId="32" borderId="89" applyNumberFormat="0" applyAlignment="0"/>
    <xf numFmtId="0" fontId="111" fillId="33" borderId="87" applyNumberFormat="0" applyAlignment="0">
      <alignment vertical="top"/>
    </xf>
    <xf numFmtId="0" fontId="110" fillId="34" borderId="89" applyNumberFormat="0" applyAlignment="0"/>
    <xf numFmtId="0" fontId="110" fillId="35" borderId="89" applyNumberFormat="0" applyAlignment="0"/>
    <xf numFmtId="0" fontId="110" fillId="0" borderId="0"/>
    <xf numFmtId="0" fontId="107" fillId="27" borderId="85" applyNumberFormat="0"/>
    <xf numFmtId="0" fontId="109" fillId="27" borderId="86" applyNumberFormat="0" applyAlignment="0"/>
  </cellStyleXfs>
  <cellXfs count="1007">
    <xf numFmtId="0" fontId="0" fillId="0" borderId="0" xfId="0"/>
    <xf numFmtId="0" fontId="0" fillId="0" borderId="0" xfId="0" applyAlignment="1">
      <alignment horizontal="center"/>
    </xf>
    <xf numFmtId="0" fontId="5" fillId="0" borderId="0" xfId="0" applyFont="1"/>
    <xf numFmtId="6" fontId="0" fillId="0" borderId="0" xfId="0" applyNumberFormat="1"/>
    <xf numFmtId="9" fontId="0" fillId="0" borderId="0" xfId="0" applyNumberFormat="1"/>
    <xf numFmtId="8" fontId="0" fillId="0" borderId="0" xfId="0" applyNumberFormat="1"/>
    <xf numFmtId="0" fontId="7" fillId="0" borderId="0" xfId="0" applyFont="1"/>
    <xf numFmtId="43" fontId="0" fillId="0" borderId="0" xfId="0" applyNumberFormat="1"/>
    <xf numFmtId="0" fontId="9" fillId="0" borderId="0" xfId="0" applyFont="1"/>
    <xf numFmtId="9" fontId="9" fillId="0" borderId="0" xfId="0" applyNumberFormat="1" applyFont="1"/>
    <xf numFmtId="0" fontId="0" fillId="0" borderId="0" xfId="0" applyAlignment="1">
      <alignment horizontal="left" indent="1"/>
    </xf>
    <xf numFmtId="0" fontId="0" fillId="0" borderId="0" xfId="0" applyAlignment="1">
      <alignment horizontal="left" wrapText="1"/>
    </xf>
    <xf numFmtId="0" fontId="0" fillId="0" borderId="0" xfId="0" applyAlignment="1">
      <alignment wrapText="1"/>
    </xf>
    <xf numFmtId="10" fontId="9" fillId="0" borderId="0" xfId="0" applyNumberFormat="1" applyFont="1"/>
    <xf numFmtId="0" fontId="22" fillId="0" borderId="0" xfId="0" applyFont="1"/>
    <xf numFmtId="1" fontId="0" fillId="0" borderId="0" xfId="0" applyNumberFormat="1"/>
    <xf numFmtId="0" fontId="0" fillId="0" borderId="0" xfId="0" applyAlignment="1">
      <alignment horizontal="left"/>
    </xf>
    <xf numFmtId="0" fontId="11" fillId="0" borderId="0" xfId="0" applyFont="1" applyAlignment="1">
      <alignment horizontal="left" wrapText="1"/>
    </xf>
    <xf numFmtId="0" fontId="5" fillId="0" borderId="0" xfId="0" applyFont="1" applyAlignment="1">
      <alignment wrapText="1"/>
    </xf>
    <xf numFmtId="0" fontId="5" fillId="0" borderId="0" xfId="0" applyFont="1" applyAlignment="1">
      <alignment horizontal="left" indent="1"/>
    </xf>
    <xf numFmtId="0" fontId="6" fillId="0" borderId="0" xfId="0" applyFont="1"/>
    <xf numFmtId="0" fontId="6" fillId="0" borderId="0" xfId="0" applyFont="1" applyAlignment="1">
      <alignment horizontal="left"/>
    </xf>
    <xf numFmtId="171" fontId="9" fillId="0" borderId="0" xfId="2" applyNumberFormat="1" applyFont="1" applyFill="1"/>
    <xf numFmtId="44" fontId="6" fillId="0" borderId="0" xfId="2" applyFont="1" applyFill="1"/>
    <xf numFmtId="9" fontId="6" fillId="0" borderId="0" xfId="0" applyNumberFormat="1" applyFont="1"/>
    <xf numFmtId="0" fontId="11" fillId="0" borderId="0" xfId="0" applyFont="1"/>
    <xf numFmtId="0" fontId="11" fillId="0" borderId="0" xfId="0" applyFont="1" applyAlignment="1">
      <alignment horizontal="left"/>
    </xf>
    <xf numFmtId="9" fontId="9" fillId="0" borderId="0" xfId="3" applyFont="1"/>
    <xf numFmtId="9" fontId="11" fillId="0" borderId="0" xfId="0" applyNumberFormat="1" applyFont="1"/>
    <xf numFmtId="173" fontId="0" fillId="0" borderId="0" xfId="0" applyNumberFormat="1"/>
    <xf numFmtId="0" fontId="5" fillId="0" borderId="0" xfId="0" applyFont="1" applyAlignment="1">
      <alignment horizontal="right"/>
    </xf>
    <xf numFmtId="44" fontId="0" fillId="0" borderId="0" xfId="0" applyNumberFormat="1"/>
    <xf numFmtId="0" fontId="15" fillId="0" borderId="0" xfId="0" applyFont="1"/>
    <xf numFmtId="44" fontId="9" fillId="0" borderId="0" xfId="2" applyFont="1"/>
    <xf numFmtId="0" fontId="0" fillId="0" borderId="0" xfId="0" applyAlignment="1">
      <alignment horizontal="left" indent="2"/>
    </xf>
    <xf numFmtId="173" fontId="9" fillId="0" borderId="0" xfId="0" applyNumberFormat="1" applyFont="1"/>
    <xf numFmtId="168" fontId="4" fillId="0" borderId="0" xfId="0" applyNumberFormat="1" applyFont="1" applyAlignment="1">
      <alignment horizontal="right"/>
    </xf>
    <xf numFmtId="0" fontId="18" fillId="0" borderId="0" xfId="0" applyFont="1"/>
    <xf numFmtId="9" fontId="9" fillId="0" borderId="0" xfId="2" applyNumberFormat="1" applyFont="1" applyFill="1"/>
    <xf numFmtId="9" fontId="9" fillId="0" borderId="0" xfId="3" applyFont="1" applyFill="1"/>
    <xf numFmtId="0" fontId="30" fillId="0" borderId="0" xfId="0" applyFont="1"/>
    <xf numFmtId="166" fontId="0" fillId="0" borderId="0" xfId="0" applyNumberFormat="1"/>
    <xf numFmtId="44" fontId="9" fillId="0" borderId="0" xfId="0" applyNumberFormat="1" applyFont="1" applyAlignment="1">
      <alignment horizontal="right"/>
    </xf>
    <xf numFmtId="44" fontId="5" fillId="0" borderId="0" xfId="0" applyNumberFormat="1" applyFont="1"/>
    <xf numFmtId="0" fontId="0" fillId="0" borderId="24" xfId="0" applyBorder="1"/>
    <xf numFmtId="0" fontId="0" fillId="0" borderId="25" xfId="0" applyBorder="1"/>
    <xf numFmtId="0" fontId="0" fillId="0" borderId="26" xfId="0" applyBorder="1"/>
    <xf numFmtId="0" fontId="0" fillId="0" borderId="28" xfId="0" applyBorder="1"/>
    <xf numFmtId="0" fontId="0" fillId="0" borderId="30" xfId="0" applyBorder="1"/>
    <xf numFmtId="0" fontId="0" fillId="0" borderId="31" xfId="0" applyBorder="1"/>
    <xf numFmtId="0" fontId="2" fillId="0" borderId="0" xfId="0" applyFont="1" applyAlignment="1" applyProtection="1">
      <alignment vertical="center"/>
      <protection locked="0"/>
    </xf>
    <xf numFmtId="166" fontId="2" fillId="17" borderId="0" xfId="7" applyNumberFormat="1" applyFont="1" applyFill="1" applyBorder="1" applyAlignment="1" applyProtection="1">
      <alignment vertical="center"/>
    </xf>
    <xf numFmtId="9" fontId="2" fillId="17" borderId="0" xfId="7" applyNumberFormat="1" applyFont="1" applyFill="1" applyBorder="1" applyAlignment="1" applyProtection="1">
      <alignment vertical="center"/>
    </xf>
    <xf numFmtId="166" fontId="3" fillId="10" borderId="0" xfId="7" applyNumberFormat="1" applyFont="1" applyFill="1" applyBorder="1" applyAlignment="1" applyProtection="1">
      <alignment vertical="center"/>
    </xf>
    <xf numFmtId="9" fontId="2" fillId="10" borderId="0" xfId="3" applyFont="1" applyFill="1" applyBorder="1" applyAlignment="1" applyProtection="1">
      <alignment horizontal="right" vertical="center"/>
    </xf>
    <xf numFmtId="165" fontId="3" fillId="12" borderId="0" xfId="7" applyNumberFormat="1" applyFont="1" applyFill="1" applyBorder="1" applyAlignment="1" applyProtection="1">
      <alignment vertical="center"/>
    </xf>
    <xf numFmtId="9" fontId="3" fillId="12" borderId="0" xfId="7" applyNumberFormat="1" applyFont="1" applyFill="1" applyBorder="1" applyAlignment="1" applyProtection="1">
      <alignment vertical="center"/>
    </xf>
    <xf numFmtId="9" fontId="2" fillId="17" borderId="0" xfId="3" applyFont="1" applyFill="1" applyBorder="1" applyAlignment="1" applyProtection="1">
      <alignment vertical="center"/>
    </xf>
    <xf numFmtId="9" fontId="3" fillId="10" borderId="0" xfId="7" applyNumberFormat="1" applyFont="1" applyFill="1" applyBorder="1" applyAlignment="1" applyProtection="1">
      <alignment vertical="center"/>
    </xf>
    <xf numFmtId="166" fontId="3" fillId="17" borderId="0" xfId="7" applyNumberFormat="1" applyFont="1" applyFill="1" applyBorder="1" applyAlignment="1" applyProtection="1">
      <alignment vertical="center"/>
    </xf>
    <xf numFmtId="3" fontId="47" fillId="17" borderId="0" xfId="7" applyNumberFormat="1" applyFont="1" applyFill="1" applyBorder="1" applyAlignment="1" applyProtection="1">
      <alignment vertical="center"/>
    </xf>
    <xf numFmtId="167" fontId="50" fillId="0" borderId="0" xfId="0" applyNumberFormat="1" applyFont="1" applyAlignment="1" applyProtection="1">
      <alignment vertical="center"/>
      <protection locked="0"/>
    </xf>
    <xf numFmtId="0" fontId="3" fillId="0" borderId="0" xfId="0" applyFont="1" applyAlignment="1" applyProtection="1">
      <alignment vertical="center"/>
      <protection locked="0"/>
    </xf>
    <xf numFmtId="167" fontId="51" fillId="0" borderId="0" xfId="0" applyNumberFormat="1" applyFont="1" applyAlignment="1" applyProtection="1">
      <alignment horizontal="right" vertical="center"/>
      <protection locked="0"/>
    </xf>
    <xf numFmtId="167" fontId="2" fillId="10" borderId="0" xfId="0" applyNumberFormat="1" applyFont="1" applyFill="1" applyAlignment="1" applyProtection="1">
      <alignment vertical="center"/>
      <protection locked="0"/>
    </xf>
    <xf numFmtId="167" fontId="52" fillId="19" borderId="0" xfId="0" applyNumberFormat="1" applyFont="1" applyFill="1" applyAlignment="1" applyProtection="1">
      <alignment horizontal="right" vertical="center"/>
      <protection locked="0"/>
    </xf>
    <xf numFmtId="167" fontId="53" fillId="19" borderId="0" xfId="0" applyNumberFormat="1" applyFont="1" applyFill="1" applyAlignment="1" applyProtection="1">
      <alignment horizontal="right" vertical="center"/>
      <protection locked="0"/>
    </xf>
    <xf numFmtId="166" fontId="50" fillId="10" borderId="0" xfId="7" applyNumberFormat="1" applyFont="1" applyFill="1" applyBorder="1" applyAlignment="1" applyProtection="1">
      <alignment vertical="center"/>
      <protection locked="0"/>
    </xf>
    <xf numFmtId="167" fontId="52" fillId="0" borderId="0" xfId="0" applyNumberFormat="1" applyFont="1" applyAlignment="1" applyProtection="1">
      <alignment horizontal="right" vertical="center"/>
      <protection locked="0"/>
    </xf>
    <xf numFmtId="166" fontId="54" fillId="0" borderId="0" xfId="7" applyNumberFormat="1" applyFont="1" applyBorder="1" applyAlignment="1" applyProtection="1">
      <alignment horizontal="left" vertical="center"/>
      <protection locked="0"/>
    </xf>
    <xf numFmtId="0" fontId="38" fillId="0" borderId="0" xfId="0" applyFont="1"/>
    <xf numFmtId="182" fontId="59" fillId="0" borderId="0" xfId="8" applyNumberFormat="1" applyFont="1"/>
    <xf numFmtId="182" fontId="60" fillId="0" borderId="0" xfId="8" applyNumberFormat="1" applyFont="1"/>
    <xf numFmtId="182" fontId="61" fillId="0" borderId="0" xfId="8" quotePrefix="1" applyNumberFormat="1" applyFont="1" applyAlignment="1">
      <alignment horizontal="right"/>
    </xf>
    <xf numFmtId="0" fontId="62" fillId="0" borderId="0" xfId="0" applyFont="1"/>
    <xf numFmtId="0" fontId="37" fillId="0" borderId="0" xfId="8" applyNumberFormat="1" applyFont="1"/>
    <xf numFmtId="0" fontId="59" fillId="0" borderId="0" xfId="8" applyNumberFormat="1" applyFont="1"/>
    <xf numFmtId="0" fontId="63" fillId="0" borderId="0" xfId="0" applyFont="1"/>
    <xf numFmtId="182" fontId="64" fillId="0" borderId="0" xfId="8" applyNumberFormat="1" applyFont="1" applyAlignment="1">
      <alignment horizontal="right"/>
    </xf>
    <xf numFmtId="183" fontId="65" fillId="0" borderId="0" xfId="0" applyNumberFormat="1" applyFont="1"/>
    <xf numFmtId="183" fontId="11" fillId="0" borderId="0" xfId="0" applyNumberFormat="1" applyFont="1"/>
    <xf numFmtId="182" fontId="59" fillId="0" borderId="39" xfId="8" applyNumberFormat="1" applyFont="1" applyBorder="1" applyAlignment="1">
      <alignment horizontal="left" vertical="center"/>
    </xf>
    <xf numFmtId="172" fontId="18" fillId="0" borderId="39" xfId="10" applyNumberFormat="1" applyFont="1" applyBorder="1"/>
    <xf numFmtId="0" fontId="18" fillId="0" borderId="39" xfId="0" applyFont="1" applyBorder="1"/>
    <xf numFmtId="41" fontId="60" fillId="0" borderId="39" xfId="11" applyNumberFormat="1" applyFont="1" applyFill="1" applyBorder="1"/>
    <xf numFmtId="182" fontId="59" fillId="0" borderId="0" xfId="8" applyNumberFormat="1" applyFont="1" applyAlignment="1">
      <alignment horizontal="left" vertical="center"/>
    </xf>
    <xf numFmtId="172" fontId="18" fillId="0" borderId="0" xfId="10" applyNumberFormat="1" applyFont="1" applyBorder="1"/>
    <xf numFmtId="41" fontId="60" fillId="0" borderId="0" xfId="11" applyNumberFormat="1" applyFont="1" applyFill="1" applyBorder="1"/>
    <xf numFmtId="172" fontId="34" fillId="0" borderId="0" xfId="10" applyNumberFormat="1" applyFont="1" applyBorder="1"/>
    <xf numFmtId="166" fontId="60" fillId="0" borderId="0" xfId="10" applyNumberFormat="1" applyFont="1" applyFill="1"/>
    <xf numFmtId="164" fontId="18" fillId="0" borderId="0" xfId="7" applyFont="1" applyFill="1" applyBorder="1"/>
    <xf numFmtId="0" fontId="34" fillId="18" borderId="0" xfId="0" applyFont="1" applyFill="1" applyAlignment="1">
      <alignment horizontal="right"/>
    </xf>
    <xf numFmtId="0" fontId="34" fillId="0" borderId="0" xfId="0" applyFont="1" applyAlignment="1">
      <alignment horizontal="right"/>
    </xf>
    <xf numFmtId="166" fontId="18" fillId="18" borderId="0" xfId="0" applyNumberFormat="1" applyFont="1" applyFill="1"/>
    <xf numFmtId="10" fontId="18" fillId="18" borderId="0" xfId="0" applyNumberFormat="1" applyFont="1" applyFill="1"/>
    <xf numFmtId="166" fontId="18" fillId="0" borderId="0" xfId="0" applyNumberFormat="1" applyFont="1"/>
    <xf numFmtId="166" fontId="60" fillId="0" borderId="0" xfId="7" applyNumberFormat="1" applyFont="1" applyFill="1"/>
    <xf numFmtId="166" fontId="1" fillId="0" borderId="0" xfId="10" applyNumberFormat="1" applyFont="1"/>
    <xf numFmtId="166" fontId="1" fillId="0" borderId="0" xfId="10" applyNumberFormat="1" applyFont="1" applyFill="1"/>
    <xf numFmtId="182" fontId="67" fillId="0" borderId="0" xfId="8" applyNumberFormat="1" applyFont="1"/>
    <xf numFmtId="182" fontId="60" fillId="0" borderId="43" xfId="8" applyNumberFormat="1" applyFont="1" applyBorder="1"/>
    <xf numFmtId="9" fontId="60" fillId="0" borderId="0" xfId="3" applyFont="1" applyFill="1"/>
    <xf numFmtId="179" fontId="60" fillId="0" borderId="0" xfId="0" applyNumberFormat="1" applyFont="1" applyAlignment="1">
      <alignment horizontal="center"/>
    </xf>
    <xf numFmtId="164" fontId="68" fillId="0" borderId="0" xfId="0" applyNumberFormat="1" applyFont="1"/>
    <xf numFmtId="182" fontId="59" fillId="0" borderId="44" xfId="8" applyNumberFormat="1" applyFont="1" applyBorder="1"/>
    <xf numFmtId="182" fontId="60" fillId="0" borderId="44" xfId="8" applyNumberFormat="1" applyFont="1" applyBorder="1"/>
    <xf numFmtId="182" fontId="69" fillId="0" borderId="0" xfId="8" applyNumberFormat="1" applyFont="1"/>
    <xf numFmtId="182" fontId="70" fillId="0" borderId="0" xfId="8" applyNumberFormat="1" applyFont="1" applyAlignment="1">
      <alignment horizontal="center"/>
    </xf>
    <xf numFmtId="0" fontId="60" fillId="0" borderId="0" xfId="8" applyNumberFormat="1" applyFont="1"/>
    <xf numFmtId="171" fontId="60" fillId="0" borderId="0" xfId="2" applyNumberFormat="1" applyFont="1" applyFill="1"/>
    <xf numFmtId="185" fontId="37" fillId="0" borderId="0" xfId="8" applyNumberFormat="1" applyFont="1"/>
    <xf numFmtId="182" fontId="60" fillId="0" borderId="41" xfId="8" applyNumberFormat="1" applyFont="1" applyBorder="1"/>
    <xf numFmtId="171" fontId="59" fillId="18" borderId="41" xfId="2" applyNumberFormat="1" applyFont="1" applyFill="1" applyBorder="1"/>
    <xf numFmtId="182" fontId="59" fillId="0" borderId="42" xfId="8" applyNumberFormat="1" applyFont="1" applyBorder="1"/>
    <xf numFmtId="182" fontId="60" fillId="0" borderId="45" xfId="8" applyNumberFormat="1" applyFont="1" applyBorder="1"/>
    <xf numFmtId="182" fontId="60" fillId="0" borderId="46" xfId="8" applyNumberFormat="1" applyFont="1" applyBorder="1"/>
    <xf numFmtId="164" fontId="60" fillId="0" borderId="47" xfId="7" applyFont="1" applyFill="1" applyBorder="1"/>
    <xf numFmtId="182" fontId="60" fillId="0" borderId="48" xfId="8" applyNumberFormat="1" applyFont="1" applyBorder="1"/>
    <xf numFmtId="182" fontId="60" fillId="0" borderId="40" xfId="8" applyNumberFormat="1" applyFont="1" applyBorder="1"/>
    <xf numFmtId="164" fontId="60" fillId="0" borderId="40" xfId="7" applyFont="1" applyFill="1" applyBorder="1"/>
    <xf numFmtId="182" fontId="60" fillId="0" borderId="49" xfId="8" applyNumberFormat="1" applyFont="1" applyBorder="1"/>
    <xf numFmtId="185" fontId="60" fillId="0" borderId="47" xfId="8" applyNumberFormat="1" applyFont="1" applyBorder="1"/>
    <xf numFmtId="9" fontId="60" fillId="0" borderId="40" xfId="3" applyFont="1" applyFill="1" applyBorder="1"/>
    <xf numFmtId="168" fontId="4" fillId="0" borderId="0" xfId="0" applyNumberFormat="1" applyFont="1"/>
    <xf numFmtId="0" fontId="0" fillId="0" borderId="50" xfId="0" applyBorder="1"/>
    <xf numFmtId="0" fontId="35" fillId="0" borderId="0" xfId="0" applyFont="1"/>
    <xf numFmtId="0" fontId="5" fillId="13" borderId="0" xfId="0" applyFont="1" applyFill="1"/>
    <xf numFmtId="166" fontId="0" fillId="0" borderId="0" xfId="7" applyNumberFormat="1" applyFont="1"/>
    <xf numFmtId="0" fontId="31" fillId="0" borderId="0" xfId="0" applyFont="1"/>
    <xf numFmtId="0" fontId="59" fillId="0" borderId="0" xfId="0" applyFont="1"/>
    <xf numFmtId="0" fontId="34" fillId="0" borderId="50" xfId="0" applyFont="1" applyBorder="1"/>
    <xf numFmtId="166" fontId="1" fillId="0" borderId="0" xfId="10" applyNumberFormat="1" applyFont="1" applyBorder="1"/>
    <xf numFmtId="166" fontId="18" fillId="0" borderId="0" xfId="10" applyNumberFormat="1" applyFont="1" applyBorder="1"/>
    <xf numFmtId="0" fontId="34" fillId="0" borderId="0" xfId="0" applyFont="1"/>
    <xf numFmtId="166" fontId="34" fillId="0" borderId="0" xfId="0" applyNumberFormat="1" applyFont="1"/>
    <xf numFmtId="0" fontId="60" fillId="0" borderId="0" xfId="0" applyFont="1"/>
    <xf numFmtId="166" fontId="1" fillId="0" borderId="6" xfId="10" applyNumberFormat="1" applyFont="1" applyBorder="1"/>
    <xf numFmtId="166" fontId="1" fillId="15" borderId="0" xfId="10" applyNumberFormat="1" applyFont="1" applyFill="1"/>
    <xf numFmtId="166" fontId="1" fillId="0" borderId="0" xfId="10" applyNumberFormat="1" applyFont="1" applyFill="1" applyBorder="1"/>
    <xf numFmtId="2" fontId="74" fillId="0" borderId="0" xfId="0" applyNumberFormat="1" applyFont="1"/>
    <xf numFmtId="0" fontId="13" fillId="0" borderId="0" xfId="0" applyFont="1"/>
    <xf numFmtId="166" fontId="13" fillId="21" borderId="6" xfId="10" applyNumberFormat="1" applyFont="1" applyFill="1" applyBorder="1"/>
    <xf numFmtId="164" fontId="1" fillId="0" borderId="0" xfId="10" applyFont="1"/>
    <xf numFmtId="164" fontId="0" fillId="0" borderId="29" xfId="0" applyNumberFormat="1" applyBorder="1"/>
    <xf numFmtId="164" fontId="0" fillId="0" borderId="32" xfId="0" applyNumberFormat="1" applyBorder="1"/>
    <xf numFmtId="166" fontId="64" fillId="0" borderId="0" xfId="10" applyNumberFormat="1" applyFont="1"/>
    <xf numFmtId="166" fontId="1" fillId="0" borderId="51" xfId="10" applyNumberFormat="1" applyFont="1" applyBorder="1"/>
    <xf numFmtId="166" fontId="1" fillId="0" borderId="52" xfId="10" applyNumberFormat="1" applyFont="1" applyBorder="1"/>
    <xf numFmtId="166" fontId="1" fillId="0" borderId="53" xfId="10" applyNumberFormat="1" applyFont="1" applyBorder="1"/>
    <xf numFmtId="0" fontId="64" fillId="0" borderId="0" xfId="0" applyFont="1"/>
    <xf numFmtId="166" fontId="64" fillId="0" borderId="53" xfId="10" applyNumberFormat="1" applyFont="1" applyBorder="1"/>
    <xf numFmtId="166" fontId="60" fillId="0" borderId="53" xfId="10" applyNumberFormat="1" applyFont="1" applyBorder="1"/>
    <xf numFmtId="166" fontId="60" fillId="0" borderId="0" xfId="10" applyNumberFormat="1" applyFont="1"/>
    <xf numFmtId="166" fontId="34" fillId="0" borderId="0" xfId="10" applyNumberFormat="1" applyFont="1"/>
    <xf numFmtId="166" fontId="64" fillId="0" borderId="52" xfId="10" applyNumberFormat="1" applyFont="1" applyBorder="1"/>
    <xf numFmtId="0" fontId="75" fillId="0" borderId="0" xfId="0" applyFont="1"/>
    <xf numFmtId="17" fontId="62" fillId="0" borderId="0" xfId="0" applyNumberFormat="1" applyFont="1"/>
    <xf numFmtId="0" fontId="76" fillId="0" borderId="0" xfId="0" applyFont="1"/>
    <xf numFmtId="0" fontId="39" fillId="0" borderId="0" xfId="0" applyFont="1"/>
    <xf numFmtId="0" fontId="77" fillId="0" borderId="0" xfId="0" applyFont="1" applyAlignment="1">
      <alignment horizontal="right"/>
    </xf>
    <xf numFmtId="173" fontId="78" fillId="0" borderId="0" xfId="0" applyNumberFormat="1" applyFont="1"/>
    <xf numFmtId="166" fontId="0" fillId="0" borderId="54" xfId="0" applyNumberFormat="1" applyBorder="1"/>
    <xf numFmtId="166" fontId="0" fillId="0" borderId="0" xfId="7" applyNumberFormat="1" applyFont="1" applyFill="1"/>
    <xf numFmtId="0" fontId="0" fillId="0" borderId="54" xfId="0" applyBorder="1"/>
    <xf numFmtId="166" fontId="0" fillId="12" borderId="0" xfId="7" applyNumberFormat="1" applyFont="1" applyFill="1"/>
    <xf numFmtId="166" fontId="31" fillId="0" borderId="0" xfId="7" applyNumberFormat="1" applyFont="1"/>
    <xf numFmtId="166" fontId="0" fillId="0" borderId="55" xfId="10" applyNumberFormat="1" applyFont="1" applyBorder="1"/>
    <xf numFmtId="166" fontId="5" fillId="0" borderId="54" xfId="0" applyNumberFormat="1" applyFont="1" applyBorder="1"/>
    <xf numFmtId="166" fontId="5" fillId="0" borderId="0" xfId="7" applyNumberFormat="1" applyFont="1"/>
    <xf numFmtId="9" fontId="0" fillId="0" borderId="0" xfId="13" applyFont="1"/>
    <xf numFmtId="9" fontId="79" fillId="0" borderId="0" xfId="0" applyNumberFormat="1" applyFont="1"/>
    <xf numFmtId="166" fontId="0" fillId="0" borderId="0" xfId="10" applyNumberFormat="1" applyFont="1"/>
    <xf numFmtId="166" fontId="5" fillId="0" borderId="0" xfId="10" applyNumberFormat="1" applyFont="1"/>
    <xf numFmtId="0" fontId="79" fillId="0" borderId="0" xfId="0" applyFont="1"/>
    <xf numFmtId="0" fontId="5" fillId="0" borderId="0" xfId="0" applyFont="1" applyAlignment="1">
      <alignment horizontal="left"/>
    </xf>
    <xf numFmtId="10" fontId="79" fillId="0" borderId="0" xfId="0" applyNumberFormat="1" applyFont="1"/>
    <xf numFmtId="166" fontId="0" fillId="13" borderId="0" xfId="10" applyNumberFormat="1" applyFont="1" applyFill="1"/>
    <xf numFmtId="166" fontId="0" fillId="0" borderId="54" xfId="7" applyNumberFormat="1" applyFont="1" applyBorder="1"/>
    <xf numFmtId="0" fontId="0" fillId="0" borderId="56" xfId="0" applyBorder="1"/>
    <xf numFmtId="0" fontId="0" fillId="13" borderId="0" xfId="0" applyFill="1"/>
    <xf numFmtId="0" fontId="5" fillId="13" borderId="54" xfId="0" applyFont="1" applyFill="1" applyBorder="1"/>
    <xf numFmtId="183" fontId="5" fillId="13" borderId="0" xfId="0" applyNumberFormat="1" applyFont="1" applyFill="1"/>
    <xf numFmtId="0" fontId="5" fillId="0" borderId="54" xfId="0" applyFont="1" applyBorder="1"/>
    <xf numFmtId="0" fontId="65" fillId="0" borderId="0" xfId="0" applyFont="1"/>
    <xf numFmtId="166" fontId="5" fillId="0" borderId="0" xfId="0" applyNumberFormat="1" applyFont="1"/>
    <xf numFmtId="164" fontId="0" fillId="0" borderId="51" xfId="7" applyFont="1" applyBorder="1"/>
    <xf numFmtId="164" fontId="0" fillId="0" borderId="52" xfId="7" applyFont="1" applyBorder="1"/>
    <xf numFmtId="41" fontId="60" fillId="0" borderId="0" xfId="8" applyNumberFormat="1" applyFont="1"/>
    <xf numFmtId="181" fontId="59" fillId="0" borderId="0" xfId="8" applyFont="1" applyAlignment="1">
      <alignment horizontal="center"/>
    </xf>
    <xf numFmtId="182" fontId="61" fillId="0" borderId="0" xfId="8" applyNumberFormat="1" applyFont="1"/>
    <xf numFmtId="2" fontId="2" fillId="17" borderId="0" xfId="7" applyNumberFormat="1" applyFont="1" applyFill="1" applyBorder="1" applyAlignment="1" applyProtection="1">
      <alignment horizontal="right" vertical="center"/>
    </xf>
    <xf numFmtId="166" fontId="87" fillId="0" borderId="0" xfId="10" applyNumberFormat="1" applyFont="1"/>
    <xf numFmtId="172" fontId="9" fillId="0" borderId="0" xfId="1" applyNumberFormat="1" applyFont="1" applyFill="1"/>
    <xf numFmtId="172" fontId="6" fillId="0" borderId="0" xfId="1" applyNumberFormat="1" applyFont="1" applyFill="1"/>
    <xf numFmtId="171" fontId="11" fillId="0" borderId="0" xfId="2" applyNumberFormat="1" applyFont="1" applyFill="1"/>
    <xf numFmtId="0" fontId="0" fillId="10" borderId="0" xfId="0" applyFill="1"/>
    <xf numFmtId="44" fontId="9" fillId="0" borderId="0" xfId="2" applyFont="1" applyFill="1"/>
    <xf numFmtId="44" fontId="29" fillId="0" borderId="0" xfId="2" applyFont="1" applyFill="1"/>
    <xf numFmtId="0" fontId="2" fillId="10" borderId="0" xfId="3" applyNumberFormat="1" applyFont="1" applyFill="1" applyBorder="1" applyAlignment="1" applyProtection="1">
      <alignment horizontal="right" vertical="center"/>
    </xf>
    <xf numFmtId="10" fontId="2" fillId="17" borderId="0" xfId="7" applyNumberFormat="1" applyFont="1" applyFill="1" applyBorder="1" applyAlignment="1" applyProtection="1">
      <alignment vertical="center"/>
    </xf>
    <xf numFmtId="10" fontId="2" fillId="17" borderId="0" xfId="3" applyNumberFormat="1" applyFont="1" applyFill="1" applyBorder="1" applyAlignment="1" applyProtection="1">
      <alignment horizontal="right" vertical="center"/>
    </xf>
    <xf numFmtId="176" fontId="14" fillId="0" borderId="54" xfId="1" applyNumberFormat="1" applyFont="1" applyFill="1" applyBorder="1" applyAlignment="1" applyProtection="1">
      <alignment vertical="center"/>
    </xf>
    <xf numFmtId="9" fontId="14" fillId="0" borderId="54" xfId="1" applyNumberFormat="1" applyFont="1" applyFill="1" applyBorder="1" applyAlignment="1" applyProtection="1">
      <alignment vertical="center"/>
    </xf>
    <xf numFmtId="166" fontId="14" fillId="0" borderId="54" xfId="1" applyNumberFormat="1" applyFont="1" applyFill="1" applyBorder="1" applyAlignment="1" applyProtection="1">
      <alignment vertical="center"/>
    </xf>
    <xf numFmtId="10" fontId="14" fillId="0" borderId="54" xfId="3" applyNumberFormat="1" applyFont="1" applyFill="1" applyBorder="1" applyAlignment="1" applyProtection="1">
      <alignment horizontal="right" vertical="center"/>
    </xf>
    <xf numFmtId="0" fontId="14" fillId="0" borderId="54" xfId="3" applyNumberFormat="1" applyFont="1" applyFill="1" applyBorder="1" applyAlignment="1" applyProtection="1">
      <alignment horizontal="right" vertical="center"/>
    </xf>
    <xf numFmtId="43" fontId="14" fillId="0" borderId="54" xfId="1" applyFont="1" applyFill="1" applyBorder="1" applyAlignment="1" applyProtection="1">
      <alignment horizontal="right" vertical="center"/>
    </xf>
    <xf numFmtId="44" fontId="0" fillId="0" borderId="0" xfId="2" applyFont="1" applyFill="1" applyBorder="1"/>
    <xf numFmtId="9" fontId="9" fillId="0" borderId="0" xfId="2" applyNumberFormat="1" applyFont="1" applyFill="1" applyBorder="1"/>
    <xf numFmtId="166" fontId="2" fillId="8" borderId="0" xfId="7" applyNumberFormat="1" applyFont="1" applyFill="1" applyBorder="1" applyAlignment="1" applyProtection="1">
      <alignment vertical="center"/>
    </xf>
    <xf numFmtId="182" fontId="11" fillId="0" borderId="0" xfId="8" applyNumberFormat="1" applyFont="1"/>
    <xf numFmtId="10" fontId="28" fillId="11" borderId="54" xfId="0" applyNumberFormat="1" applyFont="1" applyFill="1" applyBorder="1" applyAlignment="1" applyProtection="1">
      <alignment horizontal="center" vertical="center"/>
      <protection locked="0"/>
    </xf>
    <xf numFmtId="170" fontId="28" fillId="11" borderId="54" xfId="0" applyNumberFormat="1" applyFont="1" applyFill="1" applyBorder="1" applyAlignment="1" applyProtection="1">
      <alignment horizontal="center" vertical="center"/>
      <protection locked="0"/>
    </xf>
    <xf numFmtId="10" fontId="28" fillId="11" borderId="54" xfId="3" applyNumberFormat="1" applyFont="1" applyFill="1" applyBorder="1" applyAlignment="1" applyProtection="1">
      <alignment horizontal="center" vertical="center"/>
      <protection locked="0"/>
    </xf>
    <xf numFmtId="164" fontId="3" fillId="12" borderId="0" xfId="7" applyFont="1" applyFill="1" applyBorder="1" applyAlignment="1" applyProtection="1">
      <alignment vertical="center"/>
    </xf>
    <xf numFmtId="176" fontId="3" fillId="12" borderId="0" xfId="7" applyNumberFormat="1" applyFont="1" applyFill="1" applyBorder="1" applyAlignment="1" applyProtection="1">
      <alignment vertical="center"/>
    </xf>
    <xf numFmtId="171" fontId="0" fillId="0" borderId="0" xfId="0" applyNumberFormat="1"/>
    <xf numFmtId="1" fontId="9" fillId="0" borderId="0" xfId="0" applyNumberFormat="1" applyFont="1"/>
    <xf numFmtId="9" fontId="0" fillId="0" borderId="0" xfId="3" applyFont="1" applyFill="1"/>
    <xf numFmtId="9" fontId="11" fillId="0" borderId="0" xfId="3" applyFont="1" applyFill="1"/>
    <xf numFmtId="166" fontId="53" fillId="17" borderId="0" xfId="7" applyNumberFormat="1" applyFont="1" applyFill="1" applyBorder="1" applyAlignment="1" applyProtection="1">
      <alignment vertical="center"/>
    </xf>
    <xf numFmtId="9" fontId="53" fillId="17" borderId="0" xfId="7" applyNumberFormat="1" applyFont="1" applyFill="1" applyBorder="1" applyAlignment="1" applyProtection="1">
      <alignment vertical="center"/>
    </xf>
    <xf numFmtId="164" fontId="53" fillId="17" borderId="0" xfId="7" applyFont="1" applyFill="1" applyBorder="1" applyAlignment="1" applyProtection="1">
      <alignment vertical="center"/>
    </xf>
    <xf numFmtId="0" fontId="100" fillId="12" borderId="15" xfId="0" applyFont="1" applyFill="1" applyBorder="1" applyAlignment="1">
      <alignment horizontal="left" vertical="center" wrapText="1" indent="1" readingOrder="1"/>
    </xf>
    <xf numFmtId="0" fontId="100" fillId="12" borderId="64" xfId="0" applyFont="1" applyFill="1" applyBorder="1" applyAlignment="1">
      <alignment horizontal="left" vertical="center" wrapText="1" indent="1" readingOrder="1"/>
    </xf>
    <xf numFmtId="0" fontId="100" fillId="12" borderId="16" xfId="0" applyFont="1" applyFill="1" applyBorder="1" applyAlignment="1">
      <alignment horizontal="left" vertical="center" wrapText="1" indent="1" readingOrder="1"/>
    </xf>
    <xf numFmtId="0" fontId="100" fillId="9" borderId="15" xfId="0" applyFont="1" applyFill="1" applyBorder="1" applyAlignment="1">
      <alignment horizontal="left" vertical="center" wrapText="1" indent="1" readingOrder="1"/>
    </xf>
    <xf numFmtId="0" fontId="100" fillId="9" borderId="64" xfId="0" applyFont="1" applyFill="1" applyBorder="1" applyAlignment="1">
      <alignment horizontal="left" vertical="center" wrapText="1" indent="1" readingOrder="1"/>
    </xf>
    <xf numFmtId="0" fontId="100" fillId="9" borderId="16" xfId="0" applyFont="1" applyFill="1" applyBorder="1" applyAlignment="1">
      <alignment horizontal="left" vertical="center" wrapText="1" indent="1" readingOrder="1"/>
    </xf>
    <xf numFmtId="0" fontId="100" fillId="12" borderId="15" xfId="0" applyFont="1" applyFill="1" applyBorder="1" applyAlignment="1">
      <alignment horizontal="center" vertical="center" wrapText="1" readingOrder="1"/>
    </xf>
    <xf numFmtId="0" fontId="100" fillId="12" borderId="64" xfId="0" applyFont="1" applyFill="1" applyBorder="1" applyAlignment="1">
      <alignment horizontal="center" vertical="center" wrapText="1" readingOrder="1"/>
    </xf>
    <xf numFmtId="0" fontId="100" fillId="12" borderId="16" xfId="0" applyFont="1" applyFill="1" applyBorder="1" applyAlignment="1">
      <alignment horizontal="center" vertical="center" wrapText="1" readingOrder="1"/>
    </xf>
    <xf numFmtId="0" fontId="100" fillId="9" borderId="15" xfId="0" applyFont="1" applyFill="1" applyBorder="1" applyAlignment="1">
      <alignment horizontal="center" vertical="center" wrapText="1" readingOrder="1"/>
    </xf>
    <xf numFmtId="0" fontId="100" fillId="9" borderId="64" xfId="0" applyFont="1" applyFill="1" applyBorder="1" applyAlignment="1">
      <alignment horizontal="center" vertical="center" wrapText="1" readingOrder="1"/>
    </xf>
    <xf numFmtId="0" fontId="100" fillId="9" borderId="16" xfId="0" applyFont="1" applyFill="1" applyBorder="1" applyAlignment="1">
      <alignment horizontal="center" vertical="center" wrapText="1" readingOrder="1"/>
    </xf>
    <xf numFmtId="0" fontId="0" fillId="25" borderId="0" xfId="0" applyFill="1"/>
    <xf numFmtId="0" fontId="5" fillId="25" borderId="0" xfId="0" applyFont="1" applyFill="1"/>
    <xf numFmtId="0" fontId="100" fillId="3" borderId="15" xfId="0" applyFont="1" applyFill="1" applyBorder="1" applyAlignment="1">
      <alignment horizontal="left" vertical="center" wrapText="1" indent="1" readingOrder="1"/>
    </xf>
    <xf numFmtId="0" fontId="100" fillId="3" borderId="15" xfId="0" applyFont="1" applyFill="1" applyBorder="1" applyAlignment="1">
      <alignment horizontal="center" vertical="center" wrapText="1" readingOrder="1"/>
    </xf>
    <xf numFmtId="0" fontId="100" fillId="3" borderId="16" xfId="0" applyFont="1" applyFill="1" applyBorder="1" applyAlignment="1">
      <alignment horizontal="left" vertical="center" wrapText="1" indent="1" readingOrder="1"/>
    </xf>
    <xf numFmtId="0" fontId="100" fillId="3" borderId="16" xfId="0" applyFont="1" applyFill="1" applyBorder="1" applyAlignment="1">
      <alignment horizontal="center" vertical="center" wrapText="1" readingOrder="1"/>
    </xf>
    <xf numFmtId="0" fontId="100" fillId="7" borderId="79" xfId="0" applyFont="1" applyFill="1" applyBorder="1" applyAlignment="1">
      <alignment horizontal="left" vertical="center" wrapText="1" indent="1" readingOrder="1"/>
    </xf>
    <xf numFmtId="0" fontId="100" fillId="7" borderId="79" xfId="0" applyFont="1" applyFill="1" applyBorder="1" applyAlignment="1">
      <alignment horizontal="center" vertical="center" wrapText="1" readingOrder="1"/>
    </xf>
    <xf numFmtId="0" fontId="91" fillId="7" borderId="12" xfId="0" applyFont="1" applyFill="1" applyBorder="1" applyAlignment="1">
      <alignment horizontal="center" vertical="center"/>
    </xf>
    <xf numFmtId="171" fontId="10" fillId="0" borderId="0" xfId="2" applyNumberFormat="1" applyFont="1" applyFill="1"/>
    <xf numFmtId="9" fontId="32" fillId="0" borderId="0" xfId="0" applyNumberFormat="1" applyFont="1" applyAlignment="1">
      <alignment horizontal="center" vertical="center" wrapText="1"/>
    </xf>
    <xf numFmtId="0" fontId="101" fillId="25" borderId="12" xfId="0" applyFont="1" applyFill="1" applyBorder="1" applyAlignment="1">
      <alignment horizontal="center" vertical="center"/>
    </xf>
    <xf numFmtId="0" fontId="101" fillId="25" borderId="79" xfId="0" applyFont="1" applyFill="1" applyBorder="1" applyAlignment="1">
      <alignment horizontal="center" vertical="center"/>
    </xf>
    <xf numFmtId="0" fontId="100" fillId="10" borderId="0" xfId="0" applyFont="1" applyFill="1" applyAlignment="1">
      <alignment horizontal="center" vertical="center" wrapText="1" readingOrder="1"/>
    </xf>
    <xf numFmtId="0" fontId="101" fillId="10" borderId="0" xfId="0" applyFont="1" applyFill="1" applyAlignment="1">
      <alignment horizontal="center" vertical="center"/>
    </xf>
    <xf numFmtId="10" fontId="14" fillId="0" borderId="84" xfId="3" applyNumberFormat="1" applyFont="1" applyFill="1" applyBorder="1" applyAlignment="1" applyProtection="1">
      <alignment horizontal="right" vertical="center"/>
    </xf>
    <xf numFmtId="10" fontId="60" fillId="0" borderId="0" xfId="0" applyNumberFormat="1" applyFont="1" applyAlignment="1">
      <alignment horizontal="center"/>
    </xf>
    <xf numFmtId="0" fontId="18" fillId="0" borderId="0" xfId="0" applyFont="1" applyAlignment="1">
      <alignment horizontal="right"/>
    </xf>
    <xf numFmtId="182" fontId="60" fillId="0" borderId="0" xfId="8" applyNumberFormat="1" applyFont="1" applyAlignment="1">
      <alignment horizontal="left"/>
    </xf>
    <xf numFmtId="168" fontId="4" fillId="0" borderId="0" xfId="0" applyNumberFormat="1" applyFont="1" applyAlignment="1">
      <alignment horizontal="left"/>
    </xf>
    <xf numFmtId="166" fontId="18" fillId="13" borderId="0" xfId="7" applyNumberFormat="1" applyFont="1" applyFill="1" applyBorder="1"/>
    <xf numFmtId="166" fontId="60" fillId="13" borderId="0" xfId="7" applyNumberFormat="1" applyFont="1" applyFill="1"/>
    <xf numFmtId="173" fontId="60" fillId="0" borderId="0" xfId="3" applyNumberFormat="1" applyFont="1"/>
    <xf numFmtId="182" fontId="60" fillId="10" borderId="0" xfId="8" applyNumberFormat="1" applyFont="1" applyFill="1"/>
    <xf numFmtId="166" fontId="60" fillId="10" borderId="0" xfId="7" applyNumberFormat="1" applyFont="1" applyFill="1"/>
    <xf numFmtId="166" fontId="1" fillId="10" borderId="0" xfId="10" applyNumberFormat="1" applyFont="1" applyFill="1"/>
    <xf numFmtId="166" fontId="0" fillId="10" borderId="0" xfId="0" applyNumberFormat="1" applyFill="1"/>
    <xf numFmtId="172" fontId="18" fillId="0" borderId="39" xfId="10" applyNumberFormat="1" applyFont="1" applyBorder="1" applyProtection="1"/>
    <xf numFmtId="41" fontId="60" fillId="0" borderId="39" xfId="11" applyNumberFormat="1" applyFont="1" applyFill="1" applyBorder="1" applyProtection="1"/>
    <xf numFmtId="9" fontId="18" fillId="0" borderId="0" xfId="0" applyNumberFormat="1" applyFont="1"/>
    <xf numFmtId="41" fontId="60" fillId="0" borderId="0" xfId="11" applyNumberFormat="1" applyFont="1" applyFill="1" applyProtection="1"/>
    <xf numFmtId="3" fontId="80" fillId="0" borderId="0" xfId="14" applyNumberFormat="1" applyFont="1" applyAlignment="1" applyProtection="1">
      <alignment horizontal="left"/>
    </xf>
    <xf numFmtId="41" fontId="60" fillId="0" borderId="0" xfId="11" applyNumberFormat="1" applyFont="1" applyFill="1" applyBorder="1" applyProtection="1"/>
    <xf numFmtId="0" fontId="80" fillId="0" borderId="0" xfId="0" applyFont="1" applyAlignment="1">
      <alignment horizontal="left"/>
    </xf>
    <xf numFmtId="9" fontId="80" fillId="0" borderId="0" xfId="0" applyNumberFormat="1" applyFont="1" applyAlignment="1">
      <alignment horizontal="left"/>
    </xf>
    <xf numFmtId="43" fontId="80" fillId="0" borderId="0" xfId="1" applyFont="1" applyAlignment="1" applyProtection="1">
      <alignment horizontal="left"/>
    </xf>
    <xf numFmtId="0" fontId="81" fillId="0" borderId="0" xfId="0" applyFont="1"/>
    <xf numFmtId="166" fontId="61" fillId="0" borderId="0" xfId="10" applyNumberFormat="1" applyFont="1" applyFill="1" applyProtection="1"/>
    <xf numFmtId="172" fontId="18" fillId="0" borderId="0" xfId="14" applyNumberFormat="1" applyFont="1" applyProtection="1"/>
    <xf numFmtId="164" fontId="60" fillId="0" borderId="0" xfId="10" applyFont="1" applyFill="1" applyProtection="1"/>
    <xf numFmtId="0" fontId="61" fillId="0" borderId="0" xfId="0" applyFont="1"/>
    <xf numFmtId="172" fontId="61" fillId="0" borderId="0" xfId="0" applyNumberFormat="1" applyFont="1"/>
    <xf numFmtId="166" fontId="60" fillId="0" borderId="0" xfId="7" applyNumberFormat="1" applyFont="1" applyFill="1" applyProtection="1"/>
    <xf numFmtId="166" fontId="60" fillId="0" borderId="0" xfId="10" applyNumberFormat="1" applyFont="1" applyFill="1" applyProtection="1"/>
    <xf numFmtId="185" fontId="60" fillId="0" borderId="0" xfId="8" applyNumberFormat="1" applyFont="1"/>
    <xf numFmtId="44" fontId="11" fillId="0" borderId="0" xfId="2" applyFont="1" applyAlignment="1">
      <alignment horizontal="left"/>
    </xf>
    <xf numFmtId="173" fontId="1" fillId="0" borderId="0" xfId="13" applyNumberFormat="1" applyFont="1"/>
    <xf numFmtId="179" fontId="105" fillId="0" borderId="0" xfId="8" applyNumberFormat="1" applyFont="1"/>
    <xf numFmtId="9" fontId="105" fillId="0" borderId="0" xfId="3" applyFont="1" applyFill="1" applyProtection="1"/>
    <xf numFmtId="166" fontId="2" fillId="0" borderId="0" xfId="7" applyNumberFormat="1" applyFont="1" applyAlignment="1" applyProtection="1">
      <alignment vertical="center"/>
    </xf>
    <xf numFmtId="9" fontId="47" fillId="0" borderId="0" xfId="3" applyFont="1" applyBorder="1" applyAlignment="1" applyProtection="1">
      <alignment horizontal="right" vertical="center"/>
    </xf>
    <xf numFmtId="180" fontId="49" fillId="0" borderId="27" xfId="7" applyNumberFormat="1" applyFont="1" applyFill="1" applyBorder="1" applyAlignment="1" applyProtection="1">
      <alignment vertical="center"/>
    </xf>
    <xf numFmtId="9" fontId="47" fillId="10" borderId="0" xfId="3" applyFont="1" applyFill="1" applyBorder="1" applyAlignment="1" applyProtection="1">
      <alignment vertical="center"/>
    </xf>
    <xf numFmtId="10" fontId="2" fillId="10" borderId="0" xfId="3" applyNumberFormat="1" applyFont="1" applyFill="1" applyAlignment="1" applyProtection="1">
      <alignment vertical="center"/>
    </xf>
    <xf numFmtId="166" fontId="53" fillId="12" borderId="0" xfId="6" applyNumberFormat="1" applyFont="1" applyFill="1" applyBorder="1" applyAlignment="1" applyProtection="1">
      <alignment vertical="center"/>
    </xf>
    <xf numFmtId="9" fontId="53" fillId="12" borderId="0" xfId="3" applyFont="1" applyFill="1" applyBorder="1" applyAlignment="1" applyProtection="1">
      <alignment vertical="center"/>
    </xf>
    <xf numFmtId="173" fontId="46" fillId="0" borderId="0" xfId="3" applyNumberFormat="1" applyFont="1" applyBorder="1" applyAlignment="1" applyProtection="1">
      <alignment horizontal="right" vertical="center"/>
    </xf>
    <xf numFmtId="164" fontId="2" fillId="0" borderId="0" xfId="7" applyFont="1" applyBorder="1" applyAlignment="1" applyProtection="1">
      <alignment horizontal="right" vertical="center"/>
    </xf>
    <xf numFmtId="164" fontId="3" fillId="0" borderId="0" xfId="7" applyFont="1" applyBorder="1" applyAlignment="1" applyProtection="1">
      <alignment horizontal="right" vertical="center"/>
    </xf>
    <xf numFmtId="9" fontId="88" fillId="0" borderId="0" xfId="3" applyFont="1" applyFill="1" applyBorder="1" applyAlignment="1" applyProtection="1">
      <alignment vertical="center"/>
    </xf>
    <xf numFmtId="9" fontId="47" fillId="10" borderId="0" xfId="3" applyFont="1" applyFill="1" applyBorder="1" applyAlignment="1" applyProtection="1">
      <alignment horizontal="left" vertical="center"/>
    </xf>
    <xf numFmtId="166" fontId="88" fillId="0" borderId="0" xfId="6" applyNumberFormat="1" applyFont="1" applyFill="1" applyBorder="1" applyAlignment="1" applyProtection="1">
      <alignment vertical="center"/>
    </xf>
    <xf numFmtId="9" fontId="2" fillId="8" borderId="0" xfId="7" applyNumberFormat="1" applyFont="1" applyFill="1" applyBorder="1" applyAlignment="1" applyProtection="1">
      <alignment horizontal="right" vertical="center"/>
    </xf>
    <xf numFmtId="172" fontId="2" fillId="0" borderId="0" xfId="1" applyNumberFormat="1" applyFont="1" applyAlignment="1" applyProtection="1">
      <alignment vertical="center"/>
    </xf>
    <xf numFmtId="9" fontId="47" fillId="10" borderId="0" xfId="3" applyFont="1" applyFill="1" applyBorder="1" applyAlignment="1" applyProtection="1">
      <alignment horizontal="right" vertical="center"/>
    </xf>
    <xf numFmtId="180" fontId="49" fillId="0" borderId="0" xfId="7" applyNumberFormat="1" applyFont="1" applyFill="1" applyAlignment="1" applyProtection="1">
      <alignment vertical="center"/>
    </xf>
    <xf numFmtId="172" fontId="0" fillId="0" borderId="0" xfId="1" applyNumberFormat="1" applyFont="1" applyBorder="1" applyProtection="1"/>
    <xf numFmtId="171" fontId="1" fillId="6" borderId="0" xfId="2" applyNumberFormat="1" applyFont="1" applyFill="1" applyBorder="1" applyProtection="1"/>
    <xf numFmtId="44" fontId="9" fillId="0" borderId="0" xfId="2" applyFont="1" applyFill="1" applyBorder="1" applyProtection="1"/>
    <xf numFmtId="171" fontId="9" fillId="0" borderId="0" xfId="2" applyNumberFormat="1" applyFont="1" applyFill="1" applyBorder="1" applyProtection="1"/>
    <xf numFmtId="171" fontId="9" fillId="0" borderId="0" xfId="2" applyNumberFormat="1" applyFont="1" applyProtection="1"/>
    <xf numFmtId="43" fontId="9" fillId="0" borderId="0" xfId="1" applyFont="1" applyFill="1" applyBorder="1" applyProtection="1"/>
    <xf numFmtId="43" fontId="9" fillId="0" borderId="0" xfId="1" applyFont="1" applyProtection="1"/>
    <xf numFmtId="2" fontId="9" fillId="0" borderId="0" xfId="1" applyNumberFormat="1" applyFont="1" applyFill="1" applyBorder="1" applyProtection="1"/>
    <xf numFmtId="1" fontId="9" fillId="0" borderId="0" xfId="1" applyNumberFormat="1" applyFont="1" applyFill="1" applyBorder="1" applyProtection="1"/>
    <xf numFmtId="44" fontId="9" fillId="0" borderId="0" xfId="2" applyFont="1" applyProtection="1"/>
    <xf numFmtId="2" fontId="9" fillId="0" borderId="0" xfId="2" applyNumberFormat="1" applyFont="1" applyFill="1" applyBorder="1" applyProtection="1"/>
    <xf numFmtId="2" fontId="9" fillId="0" borderId="0" xfId="2" applyNumberFormat="1" applyFont="1" applyProtection="1"/>
    <xf numFmtId="1" fontId="9" fillId="0" borderId="0" xfId="2" applyNumberFormat="1" applyFont="1" applyFill="1" applyBorder="1" applyProtection="1"/>
    <xf numFmtId="1" fontId="9" fillId="0" borderId="0" xfId="2" applyNumberFormat="1" applyFont="1" applyProtection="1"/>
    <xf numFmtId="171" fontId="71" fillId="0" borderId="0" xfId="2" applyNumberFormat="1" applyFont="1" applyFill="1" applyBorder="1" applyProtection="1"/>
    <xf numFmtId="2" fontId="71" fillId="0" borderId="0" xfId="7" applyNumberFormat="1" applyFont="1" applyFill="1" applyBorder="1" applyProtection="1"/>
    <xf numFmtId="171" fontId="0" fillId="6" borderId="0" xfId="2" applyNumberFormat="1" applyFont="1" applyFill="1" applyProtection="1"/>
    <xf numFmtId="43" fontId="0" fillId="0" borderId="0" xfId="1" applyFont="1" applyBorder="1" applyProtection="1"/>
    <xf numFmtId="170" fontId="0" fillId="0" borderId="0" xfId="2" applyNumberFormat="1" applyFont="1" applyProtection="1"/>
    <xf numFmtId="170" fontId="10" fillId="0" borderId="0" xfId="2" applyNumberFormat="1" applyFont="1" applyBorder="1" applyProtection="1"/>
    <xf numFmtId="172" fontId="95" fillId="0" borderId="0" xfId="1" applyNumberFormat="1" applyFont="1" applyBorder="1" applyProtection="1"/>
    <xf numFmtId="171" fontId="0" fillId="0" borderId="0" xfId="2" applyNumberFormat="1" applyFont="1" applyBorder="1" applyProtection="1"/>
    <xf numFmtId="9" fontId="0" fillId="0" borderId="0" xfId="3" applyFont="1" applyBorder="1" applyProtection="1"/>
    <xf numFmtId="1" fontId="14" fillId="0" borderId="54" xfId="1" applyNumberFormat="1" applyFont="1" applyFill="1" applyBorder="1" applyProtection="1"/>
    <xf numFmtId="9" fontId="14" fillId="0" borderId="54" xfId="3" applyFont="1" applyFill="1" applyBorder="1" applyProtection="1"/>
    <xf numFmtId="9" fontId="11" fillId="0" borderId="54" xfId="3" applyFont="1" applyFill="1" applyBorder="1" applyAlignment="1" applyProtection="1">
      <alignment horizontal="right" vertical="center"/>
    </xf>
    <xf numFmtId="9" fontId="14" fillId="0" borderId="54" xfId="3" applyFont="1" applyFill="1" applyBorder="1" applyAlignment="1" applyProtection="1">
      <alignment horizontal="right" vertical="center"/>
    </xf>
    <xf numFmtId="10" fontId="11" fillId="0" borderId="54" xfId="3" applyNumberFormat="1" applyFont="1" applyFill="1" applyBorder="1" applyProtection="1"/>
    <xf numFmtId="0" fontId="29" fillId="26" borderId="54" xfId="0" applyFont="1" applyFill="1" applyBorder="1" applyAlignment="1" applyProtection="1">
      <alignment horizontal="right" vertical="center"/>
      <protection locked="0"/>
    </xf>
    <xf numFmtId="170" fontId="2" fillId="11" borderId="51" xfId="0" applyNumberFormat="1" applyFont="1" applyFill="1" applyBorder="1" applyProtection="1">
      <protection locked="0"/>
    </xf>
    <xf numFmtId="170" fontId="2" fillId="11" borderId="83" xfId="0" applyNumberFormat="1" applyFont="1" applyFill="1" applyBorder="1" applyProtection="1">
      <protection locked="0"/>
    </xf>
    <xf numFmtId="170" fontId="2" fillId="11" borderId="53" xfId="0" applyNumberFormat="1" applyFont="1" applyFill="1" applyBorder="1" applyProtection="1">
      <protection locked="0"/>
    </xf>
    <xf numFmtId="170" fontId="2" fillId="11" borderId="54" xfId="0" applyNumberFormat="1" applyFont="1" applyFill="1" applyBorder="1" applyProtection="1">
      <protection locked="0"/>
    </xf>
    <xf numFmtId="170" fontId="50" fillId="11" borderId="6" xfId="0" applyNumberFormat="1" applyFont="1" applyFill="1" applyBorder="1" applyProtection="1">
      <protection locked="0"/>
    </xf>
    <xf numFmtId="170" fontId="50" fillId="11" borderId="9" xfId="0" applyNumberFormat="1" applyFont="1" applyFill="1" applyBorder="1" applyProtection="1">
      <protection locked="0"/>
    </xf>
    <xf numFmtId="0" fontId="29" fillId="26" borderId="5" xfId="1" applyNumberFormat="1" applyFont="1" applyFill="1" applyBorder="1" applyAlignment="1" applyProtection="1">
      <alignment horizontal="right"/>
      <protection locked="0"/>
    </xf>
    <xf numFmtId="9" fontId="11" fillId="0" borderId="0" xfId="3" applyFont="1"/>
    <xf numFmtId="9" fontId="5" fillId="0" borderId="0" xfId="3" applyFont="1"/>
    <xf numFmtId="9" fontId="0" fillId="0" borderId="0" xfId="3" applyFont="1"/>
    <xf numFmtId="0" fontId="120" fillId="25" borderId="0" xfId="0" applyFont="1" applyFill="1" applyAlignment="1">
      <alignment horizontal="center" vertical="center" wrapText="1"/>
    </xf>
    <xf numFmtId="0" fontId="102" fillId="25" borderId="0" xfId="0" applyFont="1" applyFill="1"/>
    <xf numFmtId="0" fontId="122" fillId="37" borderId="97" xfId="0" applyFont="1" applyFill="1" applyBorder="1" applyAlignment="1">
      <alignment horizontal="center" vertical="center" wrapText="1"/>
    </xf>
    <xf numFmtId="0" fontId="123" fillId="25" borderId="97" xfId="0" applyFont="1" applyFill="1" applyBorder="1" applyAlignment="1">
      <alignment horizontal="center" vertical="center" wrapText="1"/>
    </xf>
    <xf numFmtId="0" fontId="131" fillId="39" borderId="0" xfId="0" applyFont="1" applyFill="1"/>
    <xf numFmtId="0" fontId="28" fillId="39" borderId="0" xfId="0" applyFont="1" applyFill="1"/>
    <xf numFmtId="44" fontId="9" fillId="0" borderId="137" xfId="2" applyFont="1" applyFill="1" applyBorder="1"/>
    <xf numFmtId="0" fontId="28" fillId="39" borderId="139" xfId="0" applyFont="1" applyFill="1" applyBorder="1"/>
    <xf numFmtId="44" fontId="9" fillId="0" borderId="141" xfId="2" applyFont="1" applyFill="1" applyBorder="1"/>
    <xf numFmtId="0" fontId="5" fillId="39" borderId="136" xfId="0" applyFont="1" applyFill="1" applyBorder="1"/>
    <xf numFmtId="0" fontId="5" fillId="39" borderId="138" xfId="0" applyFont="1" applyFill="1" applyBorder="1" applyAlignment="1">
      <alignment horizontal="left" indent="1"/>
    </xf>
    <xf numFmtId="0" fontId="0" fillId="0" borderId="142" xfId="0" applyBorder="1" applyAlignment="1">
      <alignment horizontal="left" indent="2"/>
    </xf>
    <xf numFmtId="0" fontId="0" fillId="0" borderId="139" xfId="0" applyBorder="1" applyAlignment="1">
      <alignment horizontal="left" indent="2"/>
    </xf>
    <xf numFmtId="0" fontId="5" fillId="39" borderId="140" xfId="0" applyFont="1" applyFill="1" applyBorder="1"/>
    <xf numFmtId="171" fontId="1" fillId="0" borderId="0" xfId="2" applyNumberFormat="1" applyFont="1" applyFill="1" applyBorder="1"/>
    <xf numFmtId="171" fontId="1" fillId="0" borderId="136" xfId="2" applyNumberFormat="1" applyFont="1" applyFill="1" applyBorder="1"/>
    <xf numFmtId="171" fontId="1" fillId="0" borderId="137" xfId="2" applyNumberFormat="1" applyFont="1" applyFill="1" applyBorder="1"/>
    <xf numFmtId="0" fontId="5" fillId="39" borderId="138" xfId="0" applyFont="1" applyFill="1" applyBorder="1"/>
    <xf numFmtId="0" fontId="5" fillId="39" borderId="142" xfId="0" applyFont="1" applyFill="1" applyBorder="1" applyAlignment="1">
      <alignment horizontal="left"/>
    </xf>
    <xf numFmtId="0" fontId="5" fillId="39" borderId="139" xfId="0" applyFont="1" applyFill="1" applyBorder="1" applyAlignment="1">
      <alignment horizontal="left"/>
    </xf>
    <xf numFmtId="171" fontId="1" fillId="0" borderId="140" xfId="2" applyNumberFormat="1" applyFont="1" applyFill="1" applyBorder="1"/>
    <xf numFmtId="171" fontId="1" fillId="0" borderId="143" xfId="2" applyNumberFormat="1" applyFont="1" applyFill="1" applyBorder="1"/>
    <xf numFmtId="171" fontId="1" fillId="0" borderId="141" xfId="2" applyNumberFormat="1" applyFont="1" applyFill="1" applyBorder="1"/>
    <xf numFmtId="172" fontId="5" fillId="0" borderId="0" xfId="1" applyNumberFormat="1" applyFont="1" applyFill="1" applyBorder="1"/>
    <xf numFmtId="0" fontId="0" fillId="0" borderId="144" xfId="0" applyBorder="1"/>
    <xf numFmtId="0" fontId="5" fillId="0" borderId="145" xfId="0" applyFont="1" applyBorder="1"/>
    <xf numFmtId="0" fontId="5" fillId="0" borderId="146" xfId="0" applyFont="1" applyBorder="1"/>
    <xf numFmtId="193" fontId="11" fillId="0" borderId="0" xfId="3" applyNumberFormat="1" applyFont="1" applyFill="1" applyBorder="1"/>
    <xf numFmtId="193" fontId="11" fillId="0" borderId="143" xfId="3" applyNumberFormat="1" applyFont="1" applyFill="1" applyBorder="1"/>
    <xf numFmtId="193" fontId="9" fillId="0" borderId="137" xfId="3" applyNumberFormat="1" applyFont="1" applyFill="1" applyBorder="1"/>
    <xf numFmtId="193" fontId="9" fillId="0" borderId="141" xfId="3" applyNumberFormat="1" applyFont="1" applyFill="1" applyBorder="1"/>
    <xf numFmtId="193" fontId="11" fillId="0" borderId="0" xfId="3" applyNumberFormat="1" applyFont="1" applyBorder="1"/>
    <xf numFmtId="193" fontId="11" fillId="0" borderId="143" xfId="3" applyNumberFormat="1" applyFont="1" applyBorder="1"/>
    <xf numFmtId="194" fontId="9" fillId="0" borderId="0" xfId="3" applyNumberFormat="1" applyFont="1" applyBorder="1"/>
    <xf numFmtId="194" fontId="9" fillId="0" borderId="143" xfId="3" applyNumberFormat="1" applyFont="1" applyBorder="1"/>
    <xf numFmtId="194" fontId="9" fillId="0" borderId="137" xfId="3" applyNumberFormat="1" applyFont="1" applyBorder="1"/>
    <xf numFmtId="194" fontId="9" fillId="0" borderId="141" xfId="3" applyNumberFormat="1" applyFont="1" applyBorder="1"/>
    <xf numFmtId="0" fontId="5" fillId="10" borderId="0" xfId="0" applyFont="1" applyFill="1"/>
    <xf numFmtId="172" fontId="5" fillId="0" borderId="0" xfId="1" applyNumberFormat="1" applyFont="1" applyFill="1" applyBorder="1" applyAlignment="1">
      <alignment horizontal="left"/>
    </xf>
    <xf numFmtId="171" fontId="9" fillId="0" borderId="0" xfId="2" applyNumberFormat="1" applyFont="1" applyFill="1" applyBorder="1"/>
    <xf numFmtId="0" fontId="110" fillId="0" borderId="0" xfId="27"/>
    <xf numFmtId="0" fontId="107" fillId="27" borderId="94" xfId="28" applyBorder="1"/>
    <xf numFmtId="0" fontId="107" fillId="27" borderId="95" xfId="28" applyBorder="1"/>
    <xf numFmtId="14" fontId="108" fillId="0" borderId="0" xfId="16" applyNumberFormat="1" applyAlignment="1"/>
    <xf numFmtId="0" fontId="113" fillId="0" borderId="0" xfId="16" quotePrefix="1" applyFont="1" applyAlignment="1">
      <alignment vertical="center"/>
    </xf>
    <xf numFmtId="192" fontId="112" fillId="0" borderId="0" xfId="16" applyNumberFormat="1" applyFont="1" applyAlignment="1">
      <alignment horizontal="center"/>
    </xf>
    <xf numFmtId="0" fontId="108" fillId="0" borderId="0" xfId="16" applyAlignment="1"/>
    <xf numFmtId="0" fontId="109" fillId="27" borderId="95" xfId="29" applyBorder="1"/>
    <xf numFmtId="0" fontId="109" fillId="27" borderId="94" xfId="29" applyBorder="1"/>
    <xf numFmtId="0" fontId="109" fillId="27" borderId="90" xfId="29" applyBorder="1"/>
    <xf numFmtId="0" fontId="109" fillId="27" borderId="91" xfId="29" applyBorder="1"/>
    <xf numFmtId="0" fontId="109" fillId="27" borderId="92" xfId="29" applyBorder="1"/>
    <xf numFmtId="0" fontId="114" fillId="28" borderId="87" xfId="17" applyFont="1" applyAlignment="1" applyProtection="1"/>
    <xf numFmtId="0" fontId="111" fillId="27" borderId="90" xfId="18" applyBorder="1">
      <alignment vertical="center" wrapText="1"/>
    </xf>
    <xf numFmtId="0" fontId="111" fillId="27" borderId="91" xfId="18" applyBorder="1">
      <alignment vertical="center" wrapText="1"/>
    </xf>
    <xf numFmtId="0" fontId="110" fillId="26" borderId="91" xfId="19" applyFill="1" applyBorder="1"/>
    <xf numFmtId="0" fontId="114" fillId="10" borderId="87" xfId="17" applyFont="1" applyFill="1" applyAlignment="1" applyProtection="1"/>
    <xf numFmtId="0" fontId="115" fillId="10" borderId="87" xfId="17" applyFont="1" applyFill="1" applyAlignment="1" applyProtection="1"/>
    <xf numFmtId="0" fontId="121" fillId="0" borderId="0" xfId="0" applyFont="1"/>
    <xf numFmtId="0" fontId="110" fillId="3" borderId="91" xfId="19" applyFill="1" applyBorder="1"/>
    <xf numFmtId="0" fontId="116" fillId="10" borderId="87" xfId="17" applyFont="1" applyFill="1" applyAlignment="1" applyProtection="1"/>
    <xf numFmtId="0" fontId="117" fillId="10" borderId="87" xfId="17" applyFont="1" applyFill="1" applyAlignment="1" applyProtection="1"/>
    <xf numFmtId="0" fontId="110" fillId="36" borderId="96" xfId="19" applyFill="1" applyBorder="1" applyAlignment="1">
      <alignment vertical="center"/>
    </xf>
    <xf numFmtId="0" fontId="110" fillId="36" borderId="96" xfId="19" applyFill="1" applyBorder="1"/>
    <xf numFmtId="0" fontId="118" fillId="10" borderId="87" xfId="17" applyFont="1" applyFill="1" applyAlignment="1" applyProtection="1"/>
    <xf numFmtId="0" fontId="110" fillId="36" borderId="91" xfId="19" applyFill="1" applyBorder="1" applyAlignment="1">
      <alignment vertical="center"/>
    </xf>
    <xf numFmtId="0" fontId="110" fillId="36" borderId="91" xfId="19" applyFill="1" applyBorder="1"/>
    <xf numFmtId="0" fontId="110" fillId="36" borderId="91" xfId="19" applyFill="1" applyBorder="1" applyAlignment="1">
      <alignment vertical="center" wrapText="1"/>
    </xf>
    <xf numFmtId="0" fontId="110" fillId="36" borderId="94" xfId="19" applyFill="1" applyBorder="1" applyAlignment="1">
      <alignment vertical="center"/>
    </xf>
    <xf numFmtId="0" fontId="110" fillId="36" borderId="94" xfId="19" applyFill="1" applyBorder="1"/>
    <xf numFmtId="0" fontId="109" fillId="27" borderId="93" xfId="29" applyBorder="1"/>
    <xf numFmtId="0" fontId="110" fillId="0" borderId="91" xfId="27" applyBorder="1" applyAlignment="1">
      <alignment vertical="center"/>
    </xf>
    <xf numFmtId="0" fontId="110" fillId="0" borderId="94" xfId="27" applyBorder="1" applyAlignment="1">
      <alignment vertical="center"/>
    </xf>
    <xf numFmtId="0" fontId="41" fillId="14" borderId="51" xfId="0" applyFont="1" applyFill="1" applyBorder="1" applyAlignment="1">
      <alignment horizontal="center" vertical="center"/>
    </xf>
    <xf numFmtId="0" fontId="41" fillId="14" borderId="0" xfId="0" applyFont="1" applyFill="1" applyAlignment="1">
      <alignment horizontal="center" vertical="center"/>
    </xf>
    <xf numFmtId="170" fontId="0" fillId="10" borderId="0" xfId="0" applyNumberFormat="1" applyFill="1"/>
    <xf numFmtId="0" fontId="2" fillId="11" borderId="70" xfId="0" applyFont="1" applyFill="1" applyBorder="1"/>
    <xf numFmtId="0" fontId="45" fillId="11" borderId="82" xfId="0" applyFont="1" applyFill="1" applyBorder="1" applyAlignment="1">
      <alignment horizontal="right"/>
    </xf>
    <xf numFmtId="0" fontId="28" fillId="11" borderId="62" xfId="0" applyFont="1" applyFill="1" applyBorder="1" applyAlignment="1">
      <alignment horizontal="left" indent="1"/>
    </xf>
    <xf numFmtId="0" fontId="92" fillId="11" borderId="0" xfId="0" applyFont="1" applyFill="1" applyAlignment="1">
      <alignment horizontal="right" vertical="center"/>
    </xf>
    <xf numFmtId="0" fontId="2" fillId="11" borderId="62" xfId="0" applyFont="1" applyFill="1" applyBorder="1"/>
    <xf numFmtId="0" fontId="45" fillId="11" borderId="0" xfId="0" applyFont="1" applyFill="1" applyAlignment="1">
      <alignment horizontal="right"/>
    </xf>
    <xf numFmtId="0" fontId="103" fillId="0" borderId="0" xfId="0" applyFont="1" applyAlignment="1">
      <alignment horizontal="left" indent="1"/>
    </xf>
    <xf numFmtId="0" fontId="28" fillId="11" borderId="8" xfId="0" applyFont="1" applyFill="1" applyBorder="1"/>
    <xf numFmtId="0" fontId="92" fillId="11" borderId="7" xfId="0" applyFont="1" applyFill="1" applyBorder="1" applyAlignment="1">
      <alignment horizontal="right"/>
    </xf>
    <xf numFmtId="170" fontId="50" fillId="11" borderId="6" xfId="0" applyNumberFormat="1" applyFont="1" applyFill="1" applyBorder="1"/>
    <xf numFmtId="0" fontId="2" fillId="0" borderId="3" xfId="0" applyFont="1" applyBorder="1"/>
    <xf numFmtId="0" fontId="2" fillId="0" borderId="4" xfId="0" applyFont="1" applyBorder="1"/>
    <xf numFmtId="0" fontId="2" fillId="0" borderId="5" xfId="0" applyFont="1" applyBorder="1"/>
    <xf numFmtId="10" fontId="0" fillId="10" borderId="0" xfId="0" applyNumberFormat="1" applyFill="1"/>
    <xf numFmtId="0" fontId="91" fillId="10" borderId="0" xfId="0" applyFont="1" applyFill="1"/>
    <xf numFmtId="169" fontId="0" fillId="10" borderId="0" xfId="0" applyNumberFormat="1" applyFill="1"/>
    <xf numFmtId="10" fontId="91" fillId="10" borderId="0" xfId="3" applyNumberFormat="1" applyFont="1" applyFill="1" applyProtection="1"/>
    <xf numFmtId="170" fontId="91" fillId="10" borderId="0" xfId="0" applyNumberFormat="1" applyFont="1" applyFill="1"/>
    <xf numFmtId="170" fontId="0" fillId="0" borderId="0" xfId="0" applyNumberFormat="1"/>
    <xf numFmtId="10" fontId="0" fillId="0" borderId="0" xfId="0" applyNumberFormat="1"/>
    <xf numFmtId="0" fontId="91" fillId="10" borderId="3" xfId="0" applyFont="1" applyFill="1" applyBorder="1"/>
    <xf numFmtId="0" fontId="91" fillId="10" borderId="4" xfId="0" applyFont="1" applyFill="1" applyBorder="1"/>
    <xf numFmtId="0" fontId="91" fillId="10" borderId="5" xfId="0" applyFont="1" applyFill="1" applyBorder="1"/>
    <xf numFmtId="0" fontId="0" fillId="10" borderId="4" xfId="0" applyFill="1" applyBorder="1"/>
    <xf numFmtId="0" fontId="33" fillId="10" borderId="4" xfId="0" applyFont="1" applyFill="1" applyBorder="1"/>
    <xf numFmtId="0" fontId="5" fillId="10" borderId="4" xfId="0" applyFont="1" applyFill="1" applyBorder="1"/>
    <xf numFmtId="43" fontId="0" fillId="10" borderId="4" xfId="1" applyFont="1" applyFill="1" applyBorder="1" applyProtection="1"/>
    <xf numFmtId="0" fontId="0" fillId="0" borderId="76" xfId="0" applyBorder="1"/>
    <xf numFmtId="0" fontId="0" fillId="0" borderId="77" xfId="0" applyBorder="1"/>
    <xf numFmtId="0" fontId="5" fillId="0" borderId="77" xfId="0" applyFont="1" applyBorder="1" applyAlignment="1">
      <alignment horizontal="center"/>
    </xf>
    <xf numFmtId="0" fontId="5" fillId="0" borderId="78" xfId="0" applyFont="1" applyBorder="1" applyAlignment="1">
      <alignment horizontal="center"/>
    </xf>
    <xf numFmtId="0" fontId="0" fillId="0" borderId="71" xfId="0" applyBorder="1"/>
    <xf numFmtId="0" fontId="0" fillId="0" borderId="72" xfId="0" applyBorder="1"/>
    <xf numFmtId="0" fontId="0" fillId="0" borderId="73" xfId="0" applyBorder="1"/>
    <xf numFmtId="0" fontId="0" fillId="0" borderId="62" xfId="0" applyBorder="1"/>
    <xf numFmtId="0" fontId="41" fillId="14" borderId="21" xfId="0" applyFont="1" applyFill="1" applyBorder="1" applyAlignment="1">
      <alignment vertical="center"/>
    </xf>
    <xf numFmtId="10" fontId="5" fillId="0" borderId="54" xfId="0" applyNumberFormat="1" applyFont="1" applyBorder="1" applyAlignment="1">
      <alignment horizontal="center"/>
    </xf>
    <xf numFmtId="0" fontId="43" fillId="16" borderId="0" xfId="0" applyFont="1" applyFill="1" applyAlignment="1">
      <alignment vertical="center"/>
    </xf>
    <xf numFmtId="0" fontId="43" fillId="16" borderId="0" xfId="0" applyFont="1" applyFill="1" applyAlignment="1">
      <alignment horizontal="right" vertical="center"/>
    </xf>
    <xf numFmtId="0" fontId="5" fillId="0" borderId="62" xfId="0" applyFont="1" applyBorder="1" applyAlignment="1">
      <alignment vertical="center"/>
    </xf>
    <xf numFmtId="0" fontId="0" fillId="0" borderId="0" xfId="0" applyAlignment="1">
      <alignment vertical="center"/>
    </xf>
    <xf numFmtId="0" fontId="0" fillId="10" borderId="0" xfId="0" applyFill="1" applyAlignment="1">
      <alignment horizontal="center"/>
    </xf>
    <xf numFmtId="0" fontId="11" fillId="0" borderId="54" xfId="0" applyFont="1" applyBorder="1" applyAlignment="1">
      <alignment horizontal="right"/>
    </xf>
    <xf numFmtId="2" fontId="9" fillId="0" borderId="0" xfId="0" applyNumberFormat="1" applyFont="1"/>
    <xf numFmtId="4" fontId="0" fillId="0" borderId="0" xfId="0" applyNumberFormat="1"/>
    <xf numFmtId="43" fontId="0" fillId="10" borderId="0" xfId="1" applyFont="1" applyFill="1" applyProtection="1"/>
    <xf numFmtId="0" fontId="8" fillId="0" borderId="0" xfId="0" applyFont="1"/>
    <xf numFmtId="174" fontId="0" fillId="0" borderId="0" xfId="0" applyNumberFormat="1"/>
    <xf numFmtId="0" fontId="9" fillId="10" borderId="0" xfId="0" applyFont="1" applyFill="1"/>
    <xf numFmtId="44" fontId="9" fillId="10" borderId="0" xfId="2" applyFont="1" applyFill="1" applyProtection="1"/>
    <xf numFmtId="44" fontId="9" fillId="10" borderId="0" xfId="2" applyFont="1" applyFill="1" applyBorder="1" applyProtection="1"/>
    <xf numFmtId="172" fontId="9" fillId="10" borderId="0" xfId="1" applyNumberFormat="1" applyFont="1" applyFill="1" applyBorder="1" applyProtection="1"/>
    <xf numFmtId="10" fontId="9" fillId="10" borderId="0" xfId="1" applyNumberFormat="1" applyFont="1" applyFill="1" applyBorder="1" applyProtection="1"/>
    <xf numFmtId="43" fontId="9" fillId="10" borderId="0" xfId="1" applyFont="1" applyFill="1" applyBorder="1" applyProtection="1"/>
    <xf numFmtId="172" fontId="0" fillId="0" borderId="0" xfId="0" applyNumberFormat="1"/>
    <xf numFmtId="0" fontId="9" fillId="10" borderId="0" xfId="3" applyNumberFormat="1" applyFont="1" applyFill="1" applyBorder="1" applyProtection="1"/>
    <xf numFmtId="0" fontId="29" fillId="10" borderId="0" xfId="0" applyFont="1" applyFill="1"/>
    <xf numFmtId="0" fontId="20" fillId="0" borderId="62" xfId="0" applyFont="1" applyBorder="1"/>
    <xf numFmtId="0" fontId="13" fillId="0" borderId="0" xfId="0" applyFont="1" applyAlignment="1">
      <alignment horizontal="right"/>
    </xf>
    <xf numFmtId="2" fontId="11" fillId="0" borderId="0" xfId="0" applyNumberFormat="1" applyFont="1"/>
    <xf numFmtId="10" fontId="9" fillId="10" borderId="0" xfId="3" applyNumberFormat="1" applyFont="1" applyFill="1" applyBorder="1" applyProtection="1"/>
    <xf numFmtId="0" fontId="11" fillId="0" borderId="54" xfId="0" applyFont="1" applyBorder="1" applyAlignment="1">
      <alignment horizontal="right" wrapText="1"/>
    </xf>
    <xf numFmtId="0" fontId="15" fillId="0" borderId="62" xfId="0" applyFont="1" applyBorder="1" applyAlignment="1">
      <alignment horizontal="left" vertical="center"/>
    </xf>
    <xf numFmtId="0" fontId="13" fillId="0" borderId="0" xfId="0" applyFont="1" applyAlignment="1">
      <alignment horizontal="right" vertical="center"/>
    </xf>
    <xf numFmtId="0" fontId="0" fillId="0" borderId="54" xfId="0" applyBorder="1" applyAlignment="1">
      <alignment horizontal="right" vertical="center"/>
    </xf>
    <xf numFmtId="0" fontId="5" fillId="0" borderId="3" xfId="0" applyFont="1" applyBorder="1"/>
    <xf numFmtId="0" fontId="0" fillId="0" borderId="57" xfId="0" applyBorder="1"/>
    <xf numFmtId="6" fontId="15" fillId="2" borderId="6" xfId="0" applyNumberFormat="1" applyFont="1" applyFill="1" applyBorder="1"/>
    <xf numFmtId="0" fontId="0" fillId="0" borderId="76" xfId="0" applyBorder="1" applyAlignment="1">
      <alignment horizontal="left" vertical="center"/>
    </xf>
    <xf numFmtId="0" fontId="13" fillId="0" borderId="77" xfId="0" applyFont="1" applyBorder="1" applyAlignment="1">
      <alignment horizontal="right" vertical="center"/>
    </xf>
    <xf numFmtId="0" fontId="14" fillId="0" borderId="78" xfId="0" applyFont="1" applyBorder="1" applyAlignment="1">
      <alignment horizontal="right" vertical="center"/>
    </xf>
    <xf numFmtId="0" fontId="0" fillId="0" borderId="62" xfId="0" applyBorder="1" applyAlignment="1">
      <alignment horizontal="left" vertical="center" indent="1"/>
    </xf>
    <xf numFmtId="0" fontId="0" fillId="0" borderId="0" xfId="0" applyAlignment="1">
      <alignment horizontal="left" wrapText="1" indent="1"/>
    </xf>
    <xf numFmtId="0" fontId="0" fillId="0" borderId="0" xfId="0" applyAlignment="1">
      <alignment horizontal="right"/>
    </xf>
    <xf numFmtId="0" fontId="5" fillId="0" borderId="62" xfId="0" applyFont="1" applyBorder="1"/>
    <xf numFmtId="0" fontId="14" fillId="0" borderId="54" xfId="0" applyFont="1" applyBorder="1"/>
    <xf numFmtId="0" fontId="12" fillId="0" borderId="62" xfId="0" applyFont="1" applyBorder="1"/>
    <xf numFmtId="0" fontId="0" fillId="0" borderId="62" xfId="0" applyBorder="1" applyAlignment="1">
      <alignment horizontal="left" indent="1"/>
    </xf>
    <xf numFmtId="0" fontId="10" fillId="0" borderId="54" xfId="0" applyFont="1" applyBorder="1"/>
    <xf numFmtId="0" fontId="7" fillId="0" borderId="62" xfId="0" applyFont="1" applyBorder="1"/>
    <xf numFmtId="0" fontId="9" fillId="0" borderId="0" xfId="0" applyFont="1" applyAlignment="1">
      <alignment horizontal="left" indent="1"/>
    </xf>
    <xf numFmtId="0" fontId="5" fillId="6" borderId="0" xfId="0" applyFont="1" applyFill="1" applyAlignment="1">
      <alignment horizontal="left" indent="1"/>
    </xf>
    <xf numFmtId="0" fontId="13" fillId="6" borderId="0" xfId="0" applyFont="1" applyFill="1" applyAlignment="1">
      <alignment horizontal="right"/>
    </xf>
    <xf numFmtId="6" fontId="5" fillId="6" borderId="0" xfId="0" applyNumberFormat="1" applyFont="1" applyFill="1"/>
    <xf numFmtId="6" fontId="5" fillId="0" borderId="0" xfId="0" applyNumberFormat="1" applyFont="1"/>
    <xf numFmtId="172" fontId="0" fillId="0" borderId="54" xfId="1" applyNumberFormat="1" applyFont="1" applyBorder="1" applyProtection="1"/>
    <xf numFmtId="14" fontId="0" fillId="0" borderId="0" xfId="0" applyNumberFormat="1"/>
    <xf numFmtId="0" fontId="5" fillId="0" borderId="62" xfId="0" applyFont="1" applyBorder="1" applyAlignment="1">
      <alignment horizontal="left" vertical="center" indent="1"/>
    </xf>
    <xf numFmtId="167" fontId="11" fillId="0" borderId="54" xfId="0" applyNumberFormat="1" applyFont="1" applyBorder="1" applyAlignment="1">
      <alignment horizontal="right" vertical="center"/>
    </xf>
    <xf numFmtId="2" fontId="0" fillId="0" borderId="0" xfId="0" applyNumberFormat="1"/>
    <xf numFmtId="169" fontId="0" fillId="0" borderId="0" xfId="0" applyNumberFormat="1"/>
    <xf numFmtId="0" fontId="0" fillId="12" borderId="0" xfId="0" applyFill="1" applyAlignment="1">
      <alignment horizontal="left" wrapText="1"/>
    </xf>
    <xf numFmtId="170" fontId="11" fillId="0" borderId="0" xfId="0" applyNumberFormat="1" applyFont="1"/>
    <xf numFmtId="0" fontId="5" fillId="0" borderId="62" xfId="0" applyFont="1" applyBorder="1" applyAlignment="1">
      <alignment horizontal="left" vertical="center"/>
    </xf>
    <xf numFmtId="0" fontId="9" fillId="0" borderId="54" xfId="0" applyFont="1" applyBorder="1"/>
    <xf numFmtId="0" fontId="23" fillId="0" borderId="62" xfId="0" applyFont="1" applyBorder="1"/>
    <xf numFmtId="0" fontId="5" fillId="0" borderId="62" xfId="0" applyFont="1" applyBorder="1" applyAlignment="1">
      <alignment horizontal="left" indent="1"/>
    </xf>
    <xf numFmtId="0" fontId="73" fillId="0" borderId="0" xfId="0" applyFont="1" applyAlignment="1">
      <alignment horizontal="right" vertical="center"/>
    </xf>
    <xf numFmtId="170" fontId="15" fillId="0" borderId="54" xfId="0" applyNumberFormat="1" applyFont="1" applyBorder="1"/>
    <xf numFmtId="169" fontId="0" fillId="0" borderId="54" xfId="0" applyNumberFormat="1" applyBorder="1"/>
    <xf numFmtId="175" fontId="14" fillId="0" borderId="54" xfId="0" applyNumberFormat="1" applyFont="1" applyBorder="1"/>
    <xf numFmtId="0" fontId="0" fillId="0" borderId="3" xfId="0" applyBorder="1" applyAlignment="1">
      <alignment horizontal="left" vertical="center" indent="1"/>
    </xf>
    <xf numFmtId="0" fontId="13" fillId="0" borderId="57" xfId="0" applyFont="1" applyBorder="1" applyAlignment="1">
      <alignment horizontal="right" vertical="center"/>
    </xf>
    <xf numFmtId="175" fontId="14" fillId="0" borderId="5" xfId="0" applyNumberFormat="1" applyFont="1" applyBorder="1"/>
    <xf numFmtId="0" fontId="0" fillId="0" borderId="0" xfId="0" applyAlignment="1">
      <alignment horizontal="left" vertical="center" indent="1"/>
    </xf>
    <xf numFmtId="175" fontId="14" fillId="0" borderId="0" xfId="0" applyNumberFormat="1" applyFont="1"/>
    <xf numFmtId="0" fontId="0" fillId="24" borderId="0" xfId="0" applyFill="1" applyAlignment="1">
      <alignment horizontal="left" wrapText="1"/>
    </xf>
    <xf numFmtId="0" fontId="5" fillId="0" borderId="76" xfId="0" applyFont="1" applyBorder="1" applyAlignment="1">
      <alignment horizontal="left" vertical="center"/>
    </xf>
    <xf numFmtId="0" fontId="0" fillId="0" borderId="78" xfId="0" applyBorder="1"/>
    <xf numFmtId="0" fontId="0" fillId="9" borderId="0" xfId="0" applyFill="1" applyAlignment="1">
      <alignment horizontal="left" wrapText="1"/>
    </xf>
    <xf numFmtId="10" fontId="0" fillId="0" borderId="54" xfId="0" applyNumberFormat="1" applyBorder="1"/>
    <xf numFmtId="167" fontId="0" fillId="0" borderId="54" xfId="0" applyNumberFormat="1" applyBorder="1"/>
    <xf numFmtId="0" fontId="16" fillId="0" borderId="0" xfId="0" applyFont="1" applyAlignment="1">
      <alignment horizontal="right" vertical="center"/>
    </xf>
    <xf numFmtId="0" fontId="0" fillId="7" borderId="0" xfId="0" applyFill="1" applyAlignment="1">
      <alignment horizontal="left" wrapText="1"/>
    </xf>
    <xf numFmtId="170" fontId="5" fillId="0" borderId="0" xfId="0" applyNumberFormat="1" applyFont="1"/>
    <xf numFmtId="0" fontId="33" fillId="0" borderId="0" xfId="0" applyFont="1"/>
    <xf numFmtId="170" fontId="33" fillId="0" borderId="0" xfId="0" applyNumberFormat="1" applyFont="1"/>
    <xf numFmtId="6" fontId="33" fillId="2" borderId="6" xfId="0" applyNumberFormat="1" applyFont="1" applyFill="1" applyBorder="1"/>
    <xf numFmtId="169" fontId="5" fillId="0" borderId="0" xfId="0" applyNumberFormat="1" applyFont="1"/>
    <xf numFmtId="170" fontId="15" fillId="0" borderId="73" xfId="0" applyNumberFormat="1" applyFont="1" applyBorder="1"/>
    <xf numFmtId="0" fontId="5" fillId="4" borderId="76" xfId="0" applyFont="1" applyFill="1" applyBorder="1"/>
    <xf numFmtId="170" fontId="15" fillId="4" borderId="78" xfId="0" applyNumberFormat="1" applyFont="1" applyFill="1" applyBorder="1"/>
    <xf numFmtId="0" fontId="5" fillId="4" borderId="8" xfId="0" applyFont="1" applyFill="1" applyBorder="1"/>
    <xf numFmtId="170" fontId="15" fillId="4" borderId="9" xfId="0" applyNumberFormat="1" applyFont="1" applyFill="1" applyBorder="1"/>
    <xf numFmtId="170" fontId="15" fillId="0" borderId="0" xfId="0" applyNumberFormat="1" applyFont="1"/>
    <xf numFmtId="0" fontId="0" fillId="0" borderId="3" xfId="0" applyBorder="1" applyAlignment="1">
      <alignment horizontal="left" indent="1"/>
    </xf>
    <xf numFmtId="0" fontId="7" fillId="0" borderId="3" xfId="0" applyFont="1" applyBorder="1"/>
    <xf numFmtId="0" fontId="0" fillId="0" borderId="5" xfId="0" applyBorder="1"/>
    <xf numFmtId="0" fontId="0" fillId="0" borderId="3" xfId="0" applyBorder="1"/>
    <xf numFmtId="0" fontId="0" fillId="0" borderId="4" xfId="0" applyBorder="1"/>
    <xf numFmtId="0" fontId="29" fillId="0" borderId="0" xfId="0" applyFont="1"/>
    <xf numFmtId="0" fontId="135" fillId="10" borderId="0" xfId="28" applyFont="1" applyFill="1" applyBorder="1"/>
    <xf numFmtId="0" fontId="125" fillId="10" borderId="0" xfId="0" applyFont="1" applyFill="1"/>
    <xf numFmtId="0" fontId="2" fillId="25" borderId="12" xfId="0" applyFont="1" applyFill="1" applyBorder="1" applyAlignment="1">
      <alignment horizontal="center" vertical="center"/>
    </xf>
    <xf numFmtId="0" fontId="2" fillId="25" borderId="123" xfId="0" applyFont="1" applyFill="1" applyBorder="1" applyAlignment="1">
      <alignment horizontal="center" vertical="center"/>
    </xf>
    <xf numFmtId="0" fontId="50" fillId="10" borderId="104" xfId="0" applyFont="1" applyFill="1" applyBorder="1" applyAlignment="1">
      <alignment horizontal="center" vertical="center"/>
    </xf>
    <xf numFmtId="0" fontId="50" fillId="10" borderId="102" xfId="0" applyFont="1" applyFill="1" applyBorder="1" applyAlignment="1">
      <alignment horizontal="center" vertical="center"/>
    </xf>
    <xf numFmtId="0" fontId="50" fillId="10" borderId="112" xfId="0" applyFont="1" applyFill="1" applyBorder="1" applyAlignment="1">
      <alignment horizontal="center" vertical="center"/>
    </xf>
    <xf numFmtId="0" fontId="50" fillId="10" borderId="131" xfId="0" applyFont="1" applyFill="1" applyBorder="1" applyAlignment="1">
      <alignment horizontal="center" vertical="center"/>
    </xf>
    <xf numFmtId="0" fontId="126" fillId="10" borderId="124" xfId="0" applyFont="1" applyFill="1" applyBorder="1" applyAlignment="1">
      <alignment horizontal="left" vertical="center" indent="1"/>
    </xf>
    <xf numFmtId="190" fontId="127" fillId="10" borderId="74" xfId="0" applyNumberFormat="1" applyFont="1" applyFill="1" applyBorder="1" applyAlignment="1">
      <alignment horizontal="right" vertical="center"/>
    </xf>
    <xf numFmtId="190" fontId="127" fillId="10" borderId="132" xfId="0" applyNumberFormat="1" applyFont="1" applyFill="1" applyBorder="1" applyAlignment="1">
      <alignment horizontal="right" vertical="center"/>
    </xf>
    <xf numFmtId="0" fontId="94" fillId="10" borderId="0" xfId="0" applyFont="1" applyFill="1"/>
    <xf numFmtId="0" fontId="93" fillId="10" borderId="0" xfId="0" applyFont="1" applyFill="1"/>
    <xf numFmtId="0" fontId="126" fillId="10" borderId="125" xfId="0" applyFont="1" applyFill="1" applyBorder="1" applyAlignment="1">
      <alignment horizontal="left" vertical="center" indent="1"/>
    </xf>
    <xf numFmtId="0" fontId="126" fillId="10" borderId="126" xfId="0" applyFont="1" applyFill="1" applyBorder="1" applyAlignment="1">
      <alignment horizontal="left" vertical="center" indent="1"/>
    </xf>
    <xf numFmtId="0" fontId="126" fillId="10" borderId="116" xfId="0" applyFont="1" applyFill="1" applyBorder="1" applyAlignment="1">
      <alignment horizontal="left" vertical="center" indent="1"/>
    </xf>
    <xf numFmtId="190" fontId="127" fillId="10" borderId="130" xfId="0" applyNumberFormat="1" applyFont="1" applyFill="1" applyBorder="1" applyAlignment="1">
      <alignment horizontal="right" vertical="center"/>
    </xf>
    <xf numFmtId="190" fontId="127" fillId="10" borderId="75" xfId="0" applyNumberFormat="1" applyFont="1" applyFill="1" applyBorder="1" applyAlignment="1">
      <alignment horizontal="right" vertical="center"/>
    </xf>
    <xf numFmtId="190" fontId="127" fillId="10" borderId="133" xfId="0" applyNumberFormat="1" applyFont="1" applyFill="1" applyBorder="1" applyAlignment="1">
      <alignment horizontal="right" vertical="center"/>
    </xf>
    <xf numFmtId="0" fontId="126" fillId="10" borderId="115" xfId="0" applyFont="1" applyFill="1" applyBorder="1" applyAlignment="1">
      <alignment horizontal="left" vertical="center" indent="1"/>
    </xf>
    <xf numFmtId="0" fontId="2" fillId="10" borderId="98" xfId="0" applyFont="1" applyFill="1" applyBorder="1" applyAlignment="1">
      <alignment horizontal="center" vertical="center" wrapText="1"/>
    </xf>
    <xf numFmtId="0" fontId="126" fillId="10" borderId="111" xfId="0" applyFont="1" applyFill="1" applyBorder="1" applyAlignment="1">
      <alignment horizontal="left" vertical="center" indent="1"/>
    </xf>
    <xf numFmtId="190" fontId="127" fillId="10" borderId="134" xfId="0" applyNumberFormat="1" applyFont="1" applyFill="1" applyBorder="1" applyAlignment="1">
      <alignment horizontal="right" vertical="center"/>
    </xf>
    <xf numFmtId="190" fontId="127" fillId="10" borderId="135" xfId="0" applyNumberFormat="1" applyFont="1" applyFill="1" applyBorder="1" applyAlignment="1">
      <alignment horizontal="right" vertical="center"/>
    </xf>
    <xf numFmtId="190" fontId="127" fillId="10" borderId="13" xfId="0" applyNumberFormat="1" applyFont="1" applyFill="1" applyBorder="1" applyAlignment="1">
      <alignment horizontal="right" vertical="center"/>
    </xf>
    <xf numFmtId="0" fontId="97" fillId="10" borderId="0" xfId="0" applyFont="1" applyFill="1"/>
    <xf numFmtId="0" fontId="50" fillId="10" borderId="101" xfId="0" applyFont="1" applyFill="1" applyBorder="1" applyAlignment="1">
      <alignment horizontal="center" vertical="center"/>
    </xf>
    <xf numFmtId="0" fontId="50" fillId="10" borderId="103" xfId="0" applyFont="1" applyFill="1" applyBorder="1" applyAlignment="1">
      <alignment horizontal="center" vertical="center"/>
    </xf>
    <xf numFmtId="0" fontId="126" fillId="10" borderId="118" xfId="0" applyFont="1" applyFill="1" applyBorder="1" applyAlignment="1">
      <alignment horizontal="left" vertical="center" indent="1"/>
    </xf>
    <xf numFmtId="8" fontId="3" fillId="10" borderId="0" xfId="0" applyNumberFormat="1" applyFont="1" applyFill="1"/>
    <xf numFmtId="6" fontId="3" fillId="10" borderId="0" xfId="0" applyNumberFormat="1" applyFont="1" applyFill="1"/>
    <xf numFmtId="170" fontId="3" fillId="10" borderId="115" xfId="0" applyNumberFormat="1" applyFont="1" applyFill="1" applyBorder="1"/>
    <xf numFmtId="0" fontId="126" fillId="10" borderId="119" xfId="0" applyFont="1" applyFill="1" applyBorder="1" applyAlignment="1">
      <alignment horizontal="left" vertical="center" indent="1"/>
    </xf>
    <xf numFmtId="0" fontId="126" fillId="10" borderId="120" xfId="0" applyFont="1" applyFill="1" applyBorder="1" applyAlignment="1">
      <alignment horizontal="left" vertical="center" indent="1"/>
    </xf>
    <xf numFmtId="0" fontId="21" fillId="10" borderId="0" xfId="0" applyFont="1" applyFill="1"/>
    <xf numFmtId="0" fontId="126" fillId="10" borderId="108" xfId="0" applyFont="1" applyFill="1" applyBorder="1" applyAlignment="1">
      <alignment horizontal="left" vertical="center" indent="1"/>
    </xf>
    <xf numFmtId="8" fontId="3" fillId="10" borderId="44" xfId="0" applyNumberFormat="1" applyFont="1" applyFill="1" applyBorder="1"/>
    <xf numFmtId="170" fontId="3" fillId="10" borderId="116" xfId="0" applyNumberFormat="1" applyFont="1" applyFill="1" applyBorder="1"/>
    <xf numFmtId="0" fontId="43" fillId="10" borderId="0" xfId="0" applyFont="1" applyFill="1" applyAlignment="1">
      <alignment horizontal="right"/>
    </xf>
    <xf numFmtId="0" fontId="43" fillId="10" borderId="0" xfId="0" applyFont="1" applyFill="1" applyAlignment="1">
      <alignment horizontal="center"/>
    </xf>
    <xf numFmtId="170" fontId="3" fillId="10" borderId="128" xfId="0" applyNumberFormat="1" applyFont="1" applyFill="1" applyBorder="1"/>
    <xf numFmtId="6" fontId="3" fillId="10" borderId="129" xfId="0" applyNumberFormat="1" applyFont="1" applyFill="1" applyBorder="1"/>
    <xf numFmtId="170" fontId="3" fillId="10" borderId="127" xfId="0" applyNumberFormat="1" applyFont="1" applyFill="1" applyBorder="1"/>
    <xf numFmtId="170" fontId="94" fillId="10" borderId="0" xfId="0" applyNumberFormat="1" applyFont="1" applyFill="1" applyAlignment="1">
      <alignment horizontal="left"/>
    </xf>
    <xf numFmtId="175" fontId="94" fillId="10" borderId="0" xfId="0" applyNumberFormat="1" applyFont="1" applyFill="1" applyAlignment="1">
      <alignment horizontal="left"/>
    </xf>
    <xf numFmtId="0" fontId="28" fillId="10" borderId="0" xfId="0" applyFont="1" applyFill="1" applyAlignment="1">
      <alignment horizontal="center"/>
    </xf>
    <xf numFmtId="0" fontId="126" fillId="10" borderId="107" xfId="0" applyFont="1" applyFill="1" applyBorder="1" applyAlignment="1">
      <alignment horizontal="left" vertical="center" indent="1"/>
    </xf>
    <xf numFmtId="170" fontId="3" fillId="10" borderId="113" xfId="0" applyNumberFormat="1" applyFont="1" applyFill="1" applyBorder="1"/>
    <xf numFmtId="6" fontId="3" fillId="10" borderId="44" xfId="0" applyNumberFormat="1" applyFont="1" applyFill="1" applyBorder="1"/>
    <xf numFmtId="0" fontId="126" fillId="10" borderId="121" xfId="0" applyFont="1" applyFill="1" applyBorder="1" applyAlignment="1">
      <alignment horizontal="left" vertical="center" indent="1"/>
    </xf>
    <xf numFmtId="0" fontId="126" fillId="10" borderId="122" xfId="0" applyFont="1" applyFill="1" applyBorder="1" applyAlignment="1">
      <alignment horizontal="left" vertical="center" indent="1"/>
    </xf>
    <xf numFmtId="0" fontId="126" fillId="10" borderId="98" xfId="0" applyFont="1" applyFill="1" applyBorder="1" applyAlignment="1">
      <alignment horizontal="left" vertical="center" indent="1"/>
    </xf>
    <xf numFmtId="6" fontId="3" fillId="10" borderId="114" xfId="0" applyNumberFormat="1" applyFont="1" applyFill="1" applyBorder="1"/>
    <xf numFmtId="170" fontId="3" fillId="10" borderId="111" xfId="0" applyNumberFormat="1" applyFont="1" applyFill="1" applyBorder="1"/>
    <xf numFmtId="0" fontId="128" fillId="10" borderId="107" xfId="0" applyFont="1" applyFill="1" applyBorder="1" applyAlignment="1">
      <alignment horizontal="left" vertical="center" indent="1"/>
    </xf>
    <xf numFmtId="170" fontId="3" fillId="10" borderId="117" xfId="0" applyNumberFormat="1" applyFont="1" applyFill="1" applyBorder="1"/>
    <xf numFmtId="0" fontId="2" fillId="10" borderId="117" xfId="0" applyFont="1" applyFill="1" applyBorder="1"/>
    <xf numFmtId="6" fontId="50" fillId="10" borderId="0" xfId="0" applyNumberFormat="1" applyFont="1" applyFill="1"/>
    <xf numFmtId="170" fontId="50" fillId="10" borderId="115" xfId="2" applyNumberFormat="1" applyFont="1" applyFill="1" applyBorder="1" applyProtection="1"/>
    <xf numFmtId="0" fontId="2" fillId="10" borderId="115" xfId="0" applyFont="1" applyFill="1" applyBorder="1"/>
    <xf numFmtId="0" fontId="129" fillId="10" borderId="0" xfId="0" applyFont="1" applyFill="1"/>
    <xf numFmtId="0" fontId="129" fillId="10" borderId="115" xfId="0" applyFont="1" applyFill="1" applyBorder="1"/>
    <xf numFmtId="0" fontId="128" fillId="10" borderId="108" xfId="0" applyFont="1" applyFill="1" applyBorder="1" applyAlignment="1">
      <alignment horizontal="left" vertical="center" indent="1"/>
    </xf>
    <xf numFmtId="6" fontId="50" fillId="10" borderId="44" xfId="0" applyNumberFormat="1" applyFont="1" applyFill="1" applyBorder="1"/>
    <xf numFmtId="0" fontId="42" fillId="10" borderId="44" xfId="0" applyFont="1" applyFill="1" applyBorder="1"/>
    <xf numFmtId="0" fontId="129" fillId="10" borderId="116" xfId="0" applyFont="1" applyFill="1" applyBorder="1"/>
    <xf numFmtId="0" fontId="119" fillId="10" borderId="0" xfId="0" applyFont="1" applyFill="1"/>
    <xf numFmtId="171" fontId="21" fillId="10" borderId="0" xfId="0" applyNumberFormat="1" applyFont="1" applyFill="1"/>
    <xf numFmtId="171" fontId="97" fillId="10" borderId="0" xfId="2" applyNumberFormat="1" applyFont="1" applyFill="1" applyBorder="1" applyProtection="1"/>
    <xf numFmtId="0" fontId="98" fillId="10" borderId="0" xfId="0" applyFont="1" applyFill="1"/>
    <xf numFmtId="171" fontId="9" fillId="0" borderId="0" xfId="2" applyNumberFormat="1" applyFont="1" applyFill="1" applyProtection="1"/>
    <xf numFmtId="2" fontId="9" fillId="0" borderId="0" xfId="1" applyNumberFormat="1" applyFont="1" applyFill="1" applyProtection="1"/>
    <xf numFmtId="2" fontId="9" fillId="0" borderId="0" xfId="2" applyNumberFormat="1" applyFont="1" applyFill="1" applyProtection="1"/>
    <xf numFmtId="0" fontId="5" fillId="5" borderId="65" xfId="0" applyFont="1" applyFill="1" applyBorder="1"/>
    <xf numFmtId="0" fontId="9" fillId="7" borderId="69" xfId="0" applyFont="1" applyFill="1" applyBorder="1"/>
    <xf numFmtId="0" fontId="22" fillId="5" borderId="8" xfId="0" applyFont="1" applyFill="1" applyBorder="1"/>
    <xf numFmtId="0" fontId="0" fillId="5" borderId="7" xfId="0" applyFill="1" applyBorder="1"/>
    <xf numFmtId="0" fontId="0" fillId="0" borderId="9" xfId="0" applyBorder="1"/>
    <xf numFmtId="0" fontId="5" fillId="5" borderId="68" xfId="0" applyFont="1" applyFill="1" applyBorder="1"/>
    <xf numFmtId="0" fontId="0" fillId="0" borderId="69" xfId="0" applyBorder="1"/>
    <xf numFmtId="0" fontId="20" fillId="0" borderId="0" xfId="0" applyFont="1"/>
    <xf numFmtId="0" fontId="5" fillId="5" borderId="62" xfId="0" applyFont="1" applyFill="1" applyBorder="1" applyAlignment="1">
      <alignment horizontal="left" wrapText="1"/>
    </xf>
    <xf numFmtId="0" fontId="5" fillId="5" borderId="62" xfId="0" applyFont="1" applyFill="1" applyBorder="1"/>
    <xf numFmtId="0" fontId="5" fillId="5" borderId="3" xfId="0" applyFont="1" applyFill="1" applyBorder="1"/>
    <xf numFmtId="172" fontId="0" fillId="0" borderId="4" xfId="1" applyNumberFormat="1" applyFont="1" applyBorder="1" applyProtection="1"/>
    <xf numFmtId="0" fontId="22" fillId="0" borderId="65" xfId="0" applyFont="1" applyBorder="1"/>
    <xf numFmtId="0" fontId="0" fillId="0" borderId="66" xfId="0" applyBorder="1"/>
    <xf numFmtId="0" fontId="0" fillId="0" borderId="67" xfId="0" applyBorder="1"/>
    <xf numFmtId="0" fontId="24" fillId="0" borderId="62" xfId="0" applyFont="1" applyBorder="1"/>
    <xf numFmtId="0" fontId="0" fillId="12" borderId="62" xfId="0" applyFill="1" applyBorder="1" applyAlignment="1">
      <alignment horizontal="left" wrapText="1"/>
    </xf>
    <xf numFmtId="0" fontId="0" fillId="24" borderId="62" xfId="0" applyFill="1" applyBorder="1" applyAlignment="1">
      <alignment horizontal="left" wrapText="1"/>
    </xf>
    <xf numFmtId="0" fontId="0" fillId="9" borderId="62" xfId="0" applyFill="1" applyBorder="1" applyAlignment="1">
      <alignment horizontal="left" wrapText="1"/>
    </xf>
    <xf numFmtId="0" fontId="0" fillId="7" borderId="62" xfId="0" applyFill="1" applyBorder="1" applyAlignment="1">
      <alignment horizontal="left" wrapText="1"/>
    </xf>
    <xf numFmtId="0" fontId="5" fillId="0" borderId="62" xfId="0" applyFont="1" applyBorder="1" applyAlignment="1">
      <alignment horizontal="left" wrapText="1"/>
    </xf>
    <xf numFmtId="0" fontId="0" fillId="0" borderId="62" xfId="0" applyBorder="1" applyAlignment="1">
      <alignment horizontal="left" wrapText="1" indent="1"/>
    </xf>
    <xf numFmtId="0" fontId="0" fillId="0" borderId="62" xfId="0" applyBorder="1" applyAlignment="1">
      <alignment horizontal="left" wrapText="1" indent="2"/>
    </xf>
    <xf numFmtId="0" fontId="0" fillId="0" borderId="62" xfId="0" applyBorder="1" applyAlignment="1">
      <alignment horizontal="left" indent="2"/>
    </xf>
    <xf numFmtId="0" fontId="11" fillId="0" borderId="4" xfId="0" applyFont="1" applyBorder="1"/>
    <xf numFmtId="2" fontId="0" fillId="0" borderId="54" xfId="0" applyNumberFormat="1" applyBorder="1"/>
    <xf numFmtId="0" fontId="136" fillId="38" borderId="0" xfId="0" applyFont="1" applyFill="1"/>
    <xf numFmtId="0" fontId="0" fillId="38" borderId="0" xfId="0" applyFill="1"/>
    <xf numFmtId="0" fontId="0" fillId="38" borderId="0" xfId="0" applyFill="1" applyAlignment="1">
      <alignment horizontal="left"/>
    </xf>
    <xf numFmtId="0" fontId="0" fillId="38" borderId="0" xfId="0" applyFill="1" applyAlignment="1">
      <alignment horizontal="center" vertical="center"/>
    </xf>
    <xf numFmtId="0" fontId="0" fillId="0" borderId="0" xfId="0" applyAlignment="1">
      <alignment horizontal="center" vertical="center" wrapText="1"/>
    </xf>
    <xf numFmtId="0" fontId="19" fillId="0" borderId="0" xfId="0" applyFont="1" applyAlignment="1">
      <alignment wrapText="1"/>
    </xf>
    <xf numFmtId="0" fontId="19" fillId="0" borderId="0" xfId="0" applyFont="1" applyAlignment="1">
      <alignment vertical="center" wrapText="1"/>
    </xf>
    <xf numFmtId="0" fontId="19" fillId="0" borderId="0" xfId="0" applyFont="1" applyAlignment="1">
      <alignment horizontal="center" vertical="center" wrapText="1"/>
    </xf>
    <xf numFmtId="0" fontId="21" fillId="0" borderId="0" xfId="0" applyFont="1" applyAlignment="1">
      <alignment horizontal="center" vertical="center" wrapText="1"/>
    </xf>
    <xf numFmtId="10" fontId="19" fillId="0" borderId="0" xfId="0" applyNumberFormat="1" applyFont="1" applyAlignment="1">
      <alignment horizontal="center" vertical="center" wrapText="1"/>
    </xf>
    <xf numFmtId="1" fontId="27" fillId="0" borderId="9" xfId="0" applyNumberFormat="1" applyFont="1" applyBorder="1" applyAlignment="1">
      <alignment horizontal="right" vertical="center"/>
    </xf>
    <xf numFmtId="0" fontId="0" fillId="0" borderId="0" xfId="0" applyAlignment="1">
      <alignment horizontal="center" vertical="center"/>
    </xf>
    <xf numFmtId="2" fontId="19" fillId="0" borderId="0" xfId="0" applyNumberFormat="1" applyFont="1" applyAlignment="1">
      <alignment horizontal="center" vertical="center" wrapText="1"/>
    </xf>
    <xf numFmtId="0" fontId="14" fillId="0" borderId="0" xfId="0" applyFont="1" applyAlignment="1">
      <alignment horizontal="left" vertical="center"/>
    </xf>
    <xf numFmtId="1" fontId="13" fillId="0" borderId="0" xfId="0" applyNumberFormat="1" applyFont="1" applyAlignment="1">
      <alignment horizontal="right" vertical="center"/>
    </xf>
    <xf numFmtId="1" fontId="13" fillId="0" borderId="0" xfId="0" applyNumberFormat="1" applyFont="1" applyAlignment="1">
      <alignment horizontal="left" vertical="center"/>
    </xf>
    <xf numFmtId="0" fontId="0" fillId="0" borderId="17" xfId="0" applyBorder="1" applyAlignment="1">
      <alignment horizontal="left" vertical="center" indent="1"/>
    </xf>
    <xf numFmtId="0" fontId="0" fillId="0" borderId="18" xfId="0" applyBorder="1" applyAlignment="1">
      <alignment horizontal="left" vertical="center" indent="1"/>
    </xf>
    <xf numFmtId="0" fontId="0" fillId="0" borderId="18" xfId="0" applyBorder="1" applyAlignment="1">
      <alignment vertical="center"/>
    </xf>
    <xf numFmtId="0" fontId="0" fillId="0" borderId="2" xfId="0" applyBorder="1" applyAlignment="1">
      <alignment vertical="center"/>
    </xf>
    <xf numFmtId="0" fontId="0" fillId="0" borderId="1" xfId="0" applyBorder="1" applyAlignment="1">
      <alignment horizontal="left" indent="1"/>
    </xf>
    <xf numFmtId="0" fontId="0" fillId="0" borderId="2" xfId="0" applyBorder="1" applyAlignment="1">
      <alignment horizontal="left" indent="1"/>
    </xf>
    <xf numFmtId="0" fontId="5" fillId="0" borderId="0" xfId="0" applyFont="1" applyAlignment="1">
      <alignment horizontal="center" vertical="center"/>
    </xf>
    <xf numFmtId="0" fontId="5" fillId="0" borderId="1" xfId="0" applyFont="1" applyBorder="1" applyAlignment="1">
      <alignment horizontal="left" vertical="center"/>
    </xf>
    <xf numFmtId="0" fontId="0" fillId="0" borderId="1" xfId="0" applyBorder="1" applyAlignment="1">
      <alignment horizontal="left" vertical="center" indent="1"/>
    </xf>
    <xf numFmtId="0" fontId="0" fillId="0" borderId="2" xfId="0" applyBorder="1" applyAlignment="1">
      <alignment horizontal="left" vertical="center" indent="1"/>
    </xf>
    <xf numFmtId="0" fontId="0" fillId="0" borderId="54" xfId="0" applyBorder="1" applyAlignment="1">
      <alignment horizontal="left" indent="1"/>
    </xf>
    <xf numFmtId="0" fontId="0" fillId="0" borderId="53" xfId="0" applyBorder="1"/>
    <xf numFmtId="0" fontId="5" fillId="0" borderId="6" xfId="0" applyFont="1" applyBorder="1"/>
    <xf numFmtId="49" fontId="5" fillId="0" borderId="6" xfId="0" applyNumberFormat="1" applyFont="1" applyBorder="1"/>
    <xf numFmtId="0" fontId="5" fillId="0" borderId="6" xfId="0" applyFont="1" applyBorder="1" applyAlignment="1">
      <alignment wrapText="1"/>
    </xf>
    <xf numFmtId="0" fontId="5" fillId="0" borderId="6" xfId="0" applyFont="1" applyBorder="1" applyAlignment="1">
      <alignment horizontal="left" wrapText="1"/>
    </xf>
    <xf numFmtId="0" fontId="5" fillId="0" borderId="8" xfId="0" applyFont="1" applyBorder="1"/>
    <xf numFmtId="0" fontId="5" fillId="0" borderId="6" xfId="0" applyFont="1" applyBorder="1" applyAlignment="1">
      <alignment horizontal="center" vertical="center"/>
    </xf>
    <xf numFmtId="0" fontId="13" fillId="0" borderId="11" xfId="0" applyFont="1"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xf>
    <xf numFmtId="0" fontId="7" fillId="0" borderId="0" xfId="0" applyFont="1" applyAlignment="1">
      <alignment horizontal="center" vertical="center"/>
    </xf>
    <xf numFmtId="49" fontId="0" fillId="0" borderId="0" xfId="0" applyNumberFormat="1" applyAlignment="1">
      <alignment horizontal="center" vertical="center"/>
    </xf>
    <xf numFmtId="0" fontId="0" fillId="0" borderId="0" xfId="0" applyAlignment="1">
      <alignment horizontal="center" wrapText="1"/>
    </xf>
    <xf numFmtId="0" fontId="0" fillId="0" borderId="0" xfId="0" applyAlignment="1">
      <alignment horizontal="left" vertical="center" wrapText="1"/>
    </xf>
    <xf numFmtId="0" fontId="0" fillId="0" borderId="11" xfId="0" applyBorder="1" applyAlignment="1">
      <alignment horizontal="center" vertical="center"/>
    </xf>
    <xf numFmtId="189" fontId="0" fillId="0" borderId="2" xfId="1" applyNumberFormat="1" applyFont="1" applyFill="1" applyBorder="1" applyAlignment="1" applyProtection="1">
      <alignment horizontal="center" vertical="center"/>
    </xf>
    <xf numFmtId="9" fontId="0" fillId="0" borderId="0" xfId="3" applyFont="1" applyFill="1" applyBorder="1" applyAlignment="1" applyProtection="1">
      <alignment horizontal="center" vertical="center"/>
    </xf>
    <xf numFmtId="9" fontId="0" fillId="0" borderId="0" xfId="0" applyNumberFormat="1" applyAlignment="1">
      <alignment horizontal="center" vertical="center"/>
    </xf>
    <xf numFmtId="1" fontId="0" fillId="0" borderId="2" xfId="1" applyNumberFormat="1" applyFont="1" applyBorder="1" applyAlignment="1" applyProtection="1">
      <alignment horizontal="center" vertical="center"/>
    </xf>
    <xf numFmtId="176" fontId="0" fillId="0" borderId="0" xfId="1" applyNumberFormat="1" applyFont="1" applyFill="1" applyBorder="1" applyAlignment="1" applyProtection="1">
      <alignment horizontal="center" vertical="center"/>
    </xf>
    <xf numFmtId="171" fontId="9" fillId="0" borderId="2" xfId="2" applyNumberFormat="1" applyFont="1" applyFill="1" applyBorder="1" applyAlignment="1" applyProtection="1">
      <alignment horizontal="center" vertical="center"/>
    </xf>
    <xf numFmtId="171" fontId="9" fillId="0" borderId="0" xfId="2" applyNumberFormat="1" applyFont="1" applyFill="1" applyBorder="1" applyAlignment="1" applyProtection="1">
      <alignment horizontal="center" vertical="center"/>
    </xf>
    <xf numFmtId="167" fontId="9" fillId="0" borderId="0" xfId="0" applyNumberFormat="1" applyFont="1" applyAlignment="1">
      <alignment horizontal="center" vertical="center"/>
    </xf>
    <xf numFmtId="9" fontId="9" fillId="0" borderId="0" xfId="0" applyNumberFormat="1" applyFont="1" applyAlignment="1">
      <alignment horizontal="center" vertical="center"/>
    </xf>
    <xf numFmtId="167" fontId="0" fillId="0" borderId="0" xfId="0" applyNumberFormat="1" applyAlignment="1">
      <alignment horizontal="center" vertical="center"/>
    </xf>
    <xf numFmtId="167" fontId="11" fillId="0" borderId="1" xfId="0" applyNumberFormat="1" applyFont="1" applyBorder="1" applyAlignment="1">
      <alignment horizontal="center" vertical="center"/>
    </xf>
    <xf numFmtId="0" fontId="9" fillId="0" borderId="0" xfId="0" applyFont="1" applyAlignment="1">
      <alignment horizontal="center" vertical="center"/>
    </xf>
    <xf numFmtId="175" fontId="9" fillId="0" borderId="2" xfId="0" applyNumberFormat="1" applyFont="1" applyBorder="1" applyAlignment="1">
      <alignment horizontal="center" vertical="center"/>
    </xf>
    <xf numFmtId="175" fontId="9" fillId="0" borderId="0" xfId="0" applyNumberFormat="1" applyFont="1" applyAlignment="1">
      <alignment horizontal="center" vertical="center"/>
    </xf>
    <xf numFmtId="170" fontId="9" fillId="0" borderId="0" xfId="0" applyNumberFormat="1" applyFont="1" applyAlignment="1">
      <alignment horizontal="center" vertical="center"/>
    </xf>
    <xf numFmtId="170" fontId="11" fillId="0" borderId="0" xfId="0" applyNumberFormat="1" applyFont="1" applyAlignment="1">
      <alignment horizontal="center" vertical="center"/>
    </xf>
    <xf numFmtId="10" fontId="9" fillId="0" borderId="0" xfId="0" applyNumberFormat="1" applyFont="1" applyAlignment="1">
      <alignment horizontal="center" vertical="center"/>
    </xf>
    <xf numFmtId="175" fontId="9" fillId="0" borderId="1" xfId="0" applyNumberFormat="1" applyFont="1" applyBorder="1" applyAlignment="1">
      <alignment horizontal="center" vertical="center"/>
    </xf>
    <xf numFmtId="9" fontId="9" fillId="0" borderId="2" xfId="0" applyNumberFormat="1" applyFont="1" applyBorder="1" applyAlignment="1">
      <alignment horizontal="center" vertical="center"/>
    </xf>
    <xf numFmtId="43" fontId="9" fillId="0" borderId="0" xfId="0" applyNumberFormat="1" applyFont="1" applyAlignment="1">
      <alignment horizontal="center" vertical="center"/>
    </xf>
    <xf numFmtId="10" fontId="11" fillId="0" borderId="1" xfId="3" applyNumberFormat="1" applyFont="1" applyFill="1" applyBorder="1" applyAlignment="1" applyProtection="1">
      <alignment horizontal="center" vertical="center"/>
    </xf>
    <xf numFmtId="0" fontId="9" fillId="0" borderId="2" xfId="0" applyFont="1" applyBorder="1" applyAlignment="1">
      <alignment horizontal="center" vertical="center"/>
    </xf>
    <xf numFmtId="3" fontId="9" fillId="0" borderId="1" xfId="0" applyNumberFormat="1" applyFont="1" applyBorder="1" applyAlignment="1">
      <alignment horizontal="center" vertical="center"/>
    </xf>
    <xf numFmtId="9" fontId="9" fillId="0" borderId="1" xfId="3" applyFont="1" applyBorder="1" applyAlignment="1" applyProtection="1">
      <alignment horizontal="center" vertical="center"/>
    </xf>
    <xf numFmtId="170" fontId="9" fillId="0" borderId="53" xfId="2" applyNumberFormat="1" applyFont="1" applyBorder="1" applyAlignment="1" applyProtection="1">
      <alignment horizontal="center" vertical="center"/>
    </xf>
    <xf numFmtId="3" fontId="9" fillId="0" borderId="0" xfId="0" applyNumberFormat="1" applyFont="1" applyAlignment="1">
      <alignment horizontal="center" vertical="center"/>
    </xf>
    <xf numFmtId="165" fontId="0" fillId="0" borderId="0" xfId="1" applyNumberFormat="1" applyFont="1" applyFill="1" applyBorder="1" applyAlignment="1" applyProtection="1">
      <alignment horizontal="center" vertical="center"/>
    </xf>
    <xf numFmtId="1" fontId="0" fillId="0" borderId="2" xfId="1" applyNumberFormat="1" applyFont="1" applyFill="1" applyBorder="1" applyAlignment="1" applyProtection="1">
      <alignment horizontal="center" vertical="center"/>
    </xf>
    <xf numFmtId="49" fontId="0" fillId="0" borderId="0" xfId="0" applyNumberFormat="1" applyAlignment="1">
      <alignment horizontal="center"/>
    </xf>
    <xf numFmtId="0" fontId="26" fillId="0" borderId="0" xfId="0" applyFont="1" applyAlignment="1">
      <alignment horizontal="center"/>
    </xf>
    <xf numFmtId="0" fontId="9" fillId="0" borderId="11" xfId="0" applyFont="1" applyBorder="1" applyAlignment="1">
      <alignment vertical="center"/>
    </xf>
    <xf numFmtId="43" fontId="9" fillId="0" borderId="2" xfId="1" applyFont="1" applyFill="1" applyBorder="1" applyAlignment="1" applyProtection="1">
      <alignment vertical="center"/>
    </xf>
    <xf numFmtId="1" fontId="9" fillId="0" borderId="2" xfId="1" applyNumberFormat="1" applyFont="1" applyBorder="1" applyProtection="1"/>
    <xf numFmtId="176" fontId="9" fillId="0" borderId="0" xfId="1" applyNumberFormat="1" applyFont="1" applyFill="1" applyBorder="1" applyAlignment="1" applyProtection="1">
      <alignment vertical="center"/>
    </xf>
    <xf numFmtId="43" fontId="9" fillId="0" borderId="0" xfId="1" applyFont="1" applyFill="1" applyBorder="1" applyAlignment="1" applyProtection="1">
      <alignment vertical="center"/>
    </xf>
    <xf numFmtId="165" fontId="11" fillId="0" borderId="0" xfId="1" applyNumberFormat="1" applyFont="1" applyFill="1" applyBorder="1" applyAlignment="1" applyProtection="1">
      <alignment vertical="center"/>
    </xf>
    <xf numFmtId="9" fontId="9" fillId="0" borderId="0" xfId="1" applyNumberFormat="1" applyFont="1" applyFill="1" applyBorder="1" applyAlignment="1" applyProtection="1">
      <alignment vertical="center"/>
    </xf>
    <xf numFmtId="166" fontId="6" fillId="0" borderId="0" xfId="1" applyNumberFormat="1" applyFont="1" applyFill="1" applyBorder="1" applyAlignment="1" applyProtection="1">
      <alignment vertical="center"/>
    </xf>
    <xf numFmtId="9" fontId="6" fillId="0" borderId="1" xfId="3" applyFont="1" applyFill="1" applyBorder="1" applyProtection="1"/>
    <xf numFmtId="171" fontId="11" fillId="0" borderId="2" xfId="2" applyNumberFormat="1" applyFont="1" applyFill="1" applyBorder="1" applyAlignment="1" applyProtection="1">
      <alignment horizontal="right" vertical="center"/>
    </xf>
    <xf numFmtId="171" fontId="11" fillId="0" borderId="0" xfId="2" applyNumberFormat="1" applyFont="1" applyFill="1" applyBorder="1" applyAlignment="1" applyProtection="1">
      <alignment horizontal="right" vertical="center"/>
    </xf>
    <xf numFmtId="167" fontId="11" fillId="0" borderId="0" xfId="0" applyNumberFormat="1" applyFont="1" applyAlignment="1">
      <alignment horizontal="right" vertical="center"/>
    </xf>
    <xf numFmtId="167" fontId="6" fillId="0" borderId="0" xfId="0" applyNumberFormat="1" applyFont="1" applyAlignment="1">
      <alignment horizontal="right" vertical="center"/>
    </xf>
    <xf numFmtId="191" fontId="11" fillId="0" borderId="0" xfId="0" applyNumberFormat="1" applyFont="1" applyAlignment="1">
      <alignment horizontal="right" vertical="center"/>
    </xf>
    <xf numFmtId="167" fontId="11" fillId="0" borderId="1" xfId="0" applyNumberFormat="1" applyFont="1" applyBorder="1"/>
    <xf numFmtId="175" fontId="11" fillId="0" borderId="2" xfId="0" applyNumberFormat="1" applyFont="1" applyBorder="1"/>
    <xf numFmtId="175" fontId="11" fillId="0" borderId="0" xfId="0" applyNumberFormat="1" applyFont="1"/>
    <xf numFmtId="175" fontId="9" fillId="0" borderId="0" xfId="0" applyNumberFormat="1" applyFont="1"/>
    <xf numFmtId="175" fontId="9" fillId="0" borderId="1" xfId="0" applyNumberFormat="1" applyFont="1" applyBorder="1"/>
    <xf numFmtId="9" fontId="11" fillId="0" borderId="2" xfId="0" applyNumberFormat="1" applyFont="1" applyBorder="1"/>
    <xf numFmtId="167" fontId="0" fillId="0" borderId="0" xfId="0" applyNumberFormat="1"/>
    <xf numFmtId="43" fontId="11" fillId="0" borderId="0" xfId="0" applyNumberFormat="1" applyFont="1"/>
    <xf numFmtId="173" fontId="11" fillId="0" borderId="1" xfId="3" applyNumberFormat="1" applyFont="1" applyFill="1" applyBorder="1" applyProtection="1"/>
    <xf numFmtId="0" fontId="9" fillId="0" borderId="2" xfId="0" applyFont="1" applyBorder="1"/>
    <xf numFmtId="3" fontId="11" fillId="0" borderId="1" xfId="0" applyNumberFormat="1" applyFont="1" applyBorder="1"/>
    <xf numFmtId="3" fontId="11" fillId="0" borderId="53" xfId="0" applyNumberFormat="1" applyFont="1" applyBorder="1"/>
    <xf numFmtId="3" fontId="9" fillId="0" borderId="0" xfId="0" applyNumberFormat="1" applyFont="1"/>
    <xf numFmtId="0" fontId="6" fillId="0" borderId="11" xfId="0" applyFont="1" applyBorder="1" applyAlignment="1">
      <alignment vertical="center"/>
    </xf>
    <xf numFmtId="166" fontId="6" fillId="0" borderId="2" xfId="1" applyNumberFormat="1" applyFont="1" applyFill="1" applyBorder="1" applyAlignment="1" applyProtection="1">
      <alignment vertical="center"/>
    </xf>
    <xf numFmtId="1" fontId="6" fillId="0" borderId="2" xfId="1" applyNumberFormat="1" applyFont="1" applyBorder="1" applyProtection="1"/>
    <xf numFmtId="176" fontId="6" fillId="0" borderId="0" xfId="1" applyNumberFormat="1" applyFont="1" applyFill="1" applyBorder="1" applyAlignment="1" applyProtection="1">
      <alignment vertical="center"/>
    </xf>
    <xf numFmtId="43" fontId="6" fillId="0" borderId="0" xfId="1" applyFont="1" applyFill="1" applyBorder="1" applyAlignment="1" applyProtection="1">
      <alignment vertical="center"/>
    </xf>
    <xf numFmtId="9" fontId="6" fillId="0" borderId="0" xfId="1" applyNumberFormat="1" applyFont="1" applyFill="1" applyBorder="1" applyAlignment="1" applyProtection="1">
      <alignment vertical="center"/>
    </xf>
    <xf numFmtId="0" fontId="6" fillId="0" borderId="2" xfId="0" applyFont="1" applyBorder="1"/>
    <xf numFmtId="164" fontId="9" fillId="0" borderId="2" xfId="1" applyNumberFormat="1" applyFont="1" applyFill="1" applyBorder="1" applyAlignment="1" applyProtection="1">
      <alignment vertical="center"/>
    </xf>
    <xf numFmtId="176" fontId="11" fillId="0" borderId="0" xfId="1" applyNumberFormat="1" applyFont="1" applyFill="1" applyBorder="1" applyAlignment="1" applyProtection="1">
      <alignment vertical="center"/>
    </xf>
    <xf numFmtId="176" fontId="9" fillId="0" borderId="2" xfId="1" applyNumberFormat="1" applyFont="1" applyFill="1" applyBorder="1" applyAlignment="1" applyProtection="1">
      <alignment vertical="center"/>
    </xf>
    <xf numFmtId="9" fontId="9" fillId="0" borderId="0" xfId="3" applyFont="1" applyFill="1" applyBorder="1" applyAlignment="1" applyProtection="1">
      <alignment vertical="center"/>
    </xf>
    <xf numFmtId="0" fontId="0" fillId="0" borderId="10" xfId="0" applyBorder="1"/>
    <xf numFmtId="0" fontId="9" fillId="0" borderId="3" xfId="0" applyFont="1" applyBorder="1"/>
    <xf numFmtId="0" fontId="9" fillId="0" borderId="4" xfId="0" applyFont="1" applyBorder="1"/>
    <xf numFmtId="173" fontId="0" fillId="0" borderId="0" xfId="3" applyNumberFormat="1" applyFont="1" applyProtection="1"/>
    <xf numFmtId="43" fontId="14" fillId="0" borderId="0" xfId="1" applyFont="1" applyFill="1" applyBorder="1" applyAlignment="1" applyProtection="1">
      <alignment horizontal="center" vertical="center"/>
    </xf>
    <xf numFmtId="9" fontId="14" fillId="0" borderId="0" xfId="1" applyNumberFormat="1" applyFont="1" applyFill="1" applyBorder="1" applyAlignment="1" applyProtection="1">
      <alignment horizontal="center" vertical="center"/>
    </xf>
    <xf numFmtId="166" fontId="14" fillId="0" borderId="0" xfId="1" applyNumberFormat="1" applyFont="1" applyFill="1" applyBorder="1" applyAlignment="1" applyProtection="1">
      <alignment horizontal="center" vertical="center"/>
    </xf>
    <xf numFmtId="0" fontId="14" fillId="0" borderId="0" xfId="0" applyFont="1" applyAlignment="1">
      <alignment horizontal="center" vertical="center"/>
    </xf>
    <xf numFmtId="9" fontId="14" fillId="0" borderId="1" xfId="3" applyFont="1" applyFill="1" applyBorder="1" applyAlignment="1" applyProtection="1">
      <alignment horizontal="center" vertical="center"/>
    </xf>
    <xf numFmtId="173" fontId="14" fillId="0" borderId="0" xfId="1" applyNumberFormat="1" applyFont="1" applyFill="1" applyBorder="1" applyAlignment="1" applyProtection="1">
      <alignment horizontal="center" vertical="center"/>
    </xf>
    <xf numFmtId="176" fontId="14" fillId="0" borderId="0" xfId="1" applyNumberFormat="1" applyFont="1" applyFill="1" applyBorder="1" applyAlignment="1" applyProtection="1">
      <alignment horizontal="center" vertical="center"/>
    </xf>
    <xf numFmtId="0" fontId="138" fillId="38" borderId="0" xfId="0" applyFont="1" applyFill="1"/>
    <xf numFmtId="0" fontId="21" fillId="38" borderId="0" xfId="0" applyFont="1" applyFill="1"/>
    <xf numFmtId="168" fontId="72" fillId="0" borderId="0" xfId="0" applyNumberFormat="1" applyFont="1"/>
    <xf numFmtId="0" fontId="12" fillId="0" borderId="0" xfId="0" applyFont="1"/>
    <xf numFmtId="0" fontId="73" fillId="0" borderId="0" xfId="0" applyFont="1"/>
    <xf numFmtId="0" fontId="17" fillId="0" borderId="0" xfId="0" applyFont="1"/>
    <xf numFmtId="164" fontId="0" fillId="0" borderId="0" xfId="7" applyFont="1" applyProtection="1"/>
    <xf numFmtId="0" fontId="15" fillId="0" borderId="50" xfId="0" applyFont="1" applyBorder="1"/>
    <xf numFmtId="0" fontId="5" fillId="0" borderId="50" xfId="0" applyFont="1" applyBorder="1"/>
    <xf numFmtId="186" fontId="5" fillId="0" borderId="50" xfId="0" applyNumberFormat="1" applyFont="1" applyBorder="1"/>
    <xf numFmtId="180" fontId="35" fillId="0" borderId="0" xfId="12" applyNumberFormat="1" applyFont="1" applyFill="1" applyProtection="1"/>
    <xf numFmtId="180" fontId="11" fillId="0" borderId="0" xfId="12" applyNumberFormat="1" applyFont="1" applyFill="1" applyProtection="1"/>
    <xf numFmtId="0" fontId="73" fillId="0" borderId="0" xfId="0" applyFont="1" applyAlignment="1">
      <alignment horizontal="right"/>
    </xf>
    <xf numFmtId="166" fontId="0" fillId="0" borderId="0" xfId="7" applyNumberFormat="1" applyFont="1" applyProtection="1"/>
    <xf numFmtId="0" fontId="72" fillId="0" borderId="0" xfId="0" applyFont="1"/>
    <xf numFmtId="0" fontId="5" fillId="0" borderId="0" xfId="0" applyFont="1" applyAlignment="1">
      <alignment horizontal="left" wrapText="1"/>
    </xf>
    <xf numFmtId="180" fontId="15" fillId="0" borderId="0" xfId="12" applyNumberFormat="1" applyFont="1" applyFill="1" applyProtection="1"/>
    <xf numFmtId="180" fontId="9" fillId="0" borderId="0" xfId="12" applyNumberFormat="1" applyFont="1" applyFill="1" applyProtection="1"/>
    <xf numFmtId="180" fontId="9" fillId="20" borderId="0" xfId="12" applyNumberFormat="1" applyFont="1" applyFill="1" applyProtection="1"/>
    <xf numFmtId="180" fontId="5" fillId="13" borderId="0" xfId="0" applyNumberFormat="1" applyFont="1" applyFill="1"/>
    <xf numFmtId="180" fontId="5" fillId="0" borderId="0" xfId="0" applyNumberFormat="1" applyFont="1"/>
    <xf numFmtId="9" fontId="17" fillId="0" borderId="0" xfId="3" applyFont="1" applyProtection="1"/>
    <xf numFmtId="187" fontId="0" fillId="0" borderId="50" xfId="0" applyNumberFormat="1" applyBorder="1"/>
    <xf numFmtId="180" fontId="11" fillId="0" borderId="0" xfId="7" applyNumberFormat="1" applyFont="1" applyFill="1" applyProtection="1"/>
    <xf numFmtId="180" fontId="0" fillId="0" borderId="0" xfId="12" applyNumberFormat="1" applyFont="1" applyFill="1" applyProtection="1"/>
    <xf numFmtId="180" fontId="0" fillId="0" borderId="0" xfId="7" applyNumberFormat="1" applyFont="1" applyFill="1" applyProtection="1"/>
    <xf numFmtId="180" fontId="5" fillId="0" borderId="0" xfId="7" applyNumberFormat="1" applyFont="1" applyProtection="1"/>
    <xf numFmtId="0" fontId="17" fillId="0" borderId="0" xfId="0" applyFont="1" applyAlignment="1">
      <alignment horizontal="right"/>
    </xf>
    <xf numFmtId="0" fontId="136" fillId="38" borderId="0" xfId="0" applyFont="1" applyFill="1" applyAlignment="1">
      <alignment vertical="center"/>
    </xf>
    <xf numFmtId="0" fontId="137" fillId="38" borderId="0" xfId="0" applyFont="1" applyFill="1" applyAlignment="1">
      <alignment vertical="center"/>
    </xf>
    <xf numFmtId="0" fontId="137" fillId="38" borderId="0" xfId="0" applyFont="1" applyFill="1" applyAlignment="1">
      <alignment horizontal="right" vertical="center"/>
    </xf>
    <xf numFmtId="0" fontId="38" fillId="0" borderId="0" xfId="0" applyFont="1" applyAlignment="1">
      <alignment vertical="center"/>
    </xf>
    <xf numFmtId="0" fontId="2" fillId="0" borderId="0" xfId="0" applyFont="1" applyAlignment="1">
      <alignment vertical="center"/>
    </xf>
    <xf numFmtId="0" fontId="2" fillId="0" borderId="0" xfId="0" applyFont="1" applyAlignment="1">
      <alignment horizontal="right" vertical="center"/>
    </xf>
    <xf numFmtId="0" fontId="2" fillId="10" borderId="0" xfId="0" applyFont="1" applyFill="1" applyAlignment="1">
      <alignment vertical="center"/>
    </xf>
    <xf numFmtId="17" fontId="39" fillId="0" borderId="0" xfId="0" applyNumberFormat="1" applyFont="1" applyAlignment="1">
      <alignment vertical="center"/>
    </xf>
    <xf numFmtId="0" fontId="2" fillId="10" borderId="0" xfId="0" applyFont="1" applyFill="1" applyAlignment="1">
      <alignment vertical="center" wrapText="1"/>
    </xf>
    <xf numFmtId="0" fontId="40" fillId="0" borderId="0" xfId="0" applyFont="1" applyAlignment="1">
      <alignment vertical="center"/>
    </xf>
    <xf numFmtId="3" fontId="3" fillId="10" borderId="0" xfId="0" applyNumberFormat="1" applyFont="1" applyFill="1" applyAlignment="1">
      <alignment vertical="center"/>
    </xf>
    <xf numFmtId="0" fontId="41" fillId="0" borderId="36" xfId="0" applyFont="1" applyBorder="1" applyAlignment="1">
      <alignment vertical="center"/>
    </xf>
    <xf numFmtId="0" fontId="41" fillId="14" borderId="37" xfId="0" applyFont="1" applyFill="1" applyBorder="1" applyAlignment="1">
      <alignment vertical="center"/>
    </xf>
    <xf numFmtId="0" fontId="41" fillId="14" borderId="36" xfId="0" applyFont="1" applyFill="1" applyBorder="1" applyAlignment="1">
      <alignment vertical="center"/>
    </xf>
    <xf numFmtId="0" fontId="41" fillId="0" borderId="19" xfId="0" applyFont="1" applyBorder="1" applyAlignment="1">
      <alignment vertical="center"/>
    </xf>
    <xf numFmtId="0" fontId="41" fillId="14" borderId="20" xfId="0" applyFont="1" applyFill="1" applyBorder="1" applyAlignment="1">
      <alignment vertical="center"/>
    </xf>
    <xf numFmtId="0" fontId="41" fillId="14" borderId="22" xfId="0" applyFont="1" applyFill="1" applyBorder="1" applyAlignment="1">
      <alignment vertical="center"/>
    </xf>
    <xf numFmtId="0" fontId="41" fillId="0" borderId="38" xfId="0" applyFont="1" applyBorder="1" applyAlignment="1">
      <alignment vertical="center"/>
    </xf>
    <xf numFmtId="0" fontId="28" fillId="0" borderId="23" xfId="0" applyFont="1" applyBorder="1" applyAlignment="1">
      <alignment vertical="center"/>
    </xf>
    <xf numFmtId="0" fontId="2" fillId="0" borderId="27" xfId="0" applyFont="1" applyBorder="1" applyAlignment="1">
      <alignment vertical="center"/>
    </xf>
    <xf numFmtId="0" fontId="2" fillId="0" borderId="0" xfId="0" applyFont="1" applyAlignment="1">
      <alignment horizontal="center" vertical="center"/>
    </xf>
    <xf numFmtId="0" fontId="2" fillId="0" borderId="23" xfId="0" applyFont="1" applyBorder="1" applyAlignment="1">
      <alignment vertical="center"/>
    </xf>
    <xf numFmtId="0" fontId="42" fillId="16" borderId="0" xfId="0" applyFont="1" applyFill="1" applyAlignment="1">
      <alignment vertical="center"/>
    </xf>
    <xf numFmtId="0" fontId="43" fillId="16" borderId="0" xfId="0" applyFont="1" applyFill="1" applyAlignment="1">
      <alignment horizontal="center" vertical="center" wrapText="1"/>
    </xf>
    <xf numFmtId="0" fontId="43" fillId="10" borderId="0" xfId="0" applyFont="1" applyFill="1" applyAlignment="1">
      <alignment horizontal="center" vertical="center" wrapText="1"/>
    </xf>
    <xf numFmtId="4" fontId="2" fillId="10" borderId="0" xfId="0" applyNumberFormat="1" applyFont="1" applyFill="1" applyAlignment="1">
      <alignment vertical="center"/>
    </xf>
    <xf numFmtId="0" fontId="28" fillId="0" borderId="0" xfId="0" applyFont="1" applyAlignment="1">
      <alignment vertical="center"/>
    </xf>
    <xf numFmtId="0" fontId="44" fillId="0" borderId="0" xfId="0" applyFont="1" applyAlignment="1">
      <alignment vertical="center"/>
    </xf>
    <xf numFmtId="0" fontId="45" fillId="0" borderId="0" xfId="0" applyFont="1" applyAlignment="1">
      <alignment horizontal="right" vertical="center"/>
    </xf>
    <xf numFmtId="167" fontId="28" fillId="0" borderId="0" xfId="0" applyNumberFormat="1" applyFont="1" applyAlignment="1">
      <alignment vertical="center"/>
    </xf>
    <xf numFmtId="0" fontId="28" fillId="0" borderId="0" xfId="0" applyFont="1" applyAlignment="1">
      <alignment horizontal="left" vertical="center"/>
    </xf>
    <xf numFmtId="167" fontId="3" fillId="0" borderId="0" xfId="0" applyNumberFormat="1" applyFont="1" applyAlignment="1">
      <alignment vertical="center"/>
    </xf>
    <xf numFmtId="167" fontId="46" fillId="0" borderId="0" xfId="0" applyNumberFormat="1" applyFont="1" applyAlignment="1">
      <alignment horizontal="right" vertical="center"/>
    </xf>
    <xf numFmtId="0" fontId="53" fillId="0" borderId="0" xfId="0" applyFont="1" applyAlignment="1">
      <alignment vertical="center"/>
    </xf>
    <xf numFmtId="0" fontId="53" fillId="0" borderId="0" xfId="0" applyFont="1" applyAlignment="1">
      <alignment horizontal="right" vertical="center"/>
    </xf>
    <xf numFmtId="183" fontId="53" fillId="12" borderId="0" xfId="0" applyNumberFormat="1" applyFont="1" applyFill="1" applyAlignment="1">
      <alignment vertical="center"/>
    </xf>
    <xf numFmtId="0" fontId="53" fillId="0" borderId="0" xfId="0" applyFont="1" applyAlignment="1">
      <alignment horizontal="left" vertical="center"/>
    </xf>
    <xf numFmtId="167" fontId="53" fillId="17" borderId="0" xfId="0" applyNumberFormat="1" applyFont="1" applyFill="1" applyAlignment="1">
      <alignment vertical="center"/>
    </xf>
    <xf numFmtId="167" fontId="47" fillId="10" borderId="0" xfId="0" applyNumberFormat="1" applyFont="1" applyFill="1" applyAlignment="1">
      <alignment horizontal="right" vertical="center"/>
    </xf>
    <xf numFmtId="0" fontId="53" fillId="12" borderId="0" xfId="0" applyFont="1" applyFill="1" applyAlignment="1">
      <alignment vertical="center"/>
    </xf>
    <xf numFmtId="0" fontId="2" fillId="0" borderId="0" xfId="0" applyFont="1" applyAlignment="1">
      <alignment horizontal="left" vertical="center" indent="1"/>
    </xf>
    <xf numFmtId="183" fontId="3" fillId="12" borderId="0" xfId="0" applyNumberFormat="1" applyFont="1" applyFill="1" applyAlignment="1">
      <alignment vertical="center"/>
    </xf>
    <xf numFmtId="167" fontId="2" fillId="10" borderId="0" xfId="0" applyNumberFormat="1" applyFont="1" applyFill="1" applyAlignment="1">
      <alignment horizontal="right" vertical="center"/>
    </xf>
    <xf numFmtId="0" fontId="3" fillId="17" borderId="0" xfId="0" applyFont="1" applyFill="1" applyAlignment="1">
      <alignment horizontal="right" vertical="center"/>
    </xf>
    <xf numFmtId="0" fontId="3" fillId="0" borderId="0" xfId="0" applyFont="1" applyAlignment="1">
      <alignment horizontal="left" vertical="center" indent="1"/>
    </xf>
    <xf numFmtId="167" fontId="45" fillId="0" borderId="0" xfId="0" applyNumberFormat="1" applyFont="1" applyAlignment="1">
      <alignment horizontal="right" vertical="center"/>
    </xf>
    <xf numFmtId="167" fontId="2" fillId="10" borderId="0" xfId="0" applyNumberFormat="1" applyFont="1" applyFill="1" applyAlignment="1">
      <alignment vertical="center"/>
    </xf>
    <xf numFmtId="3" fontId="2" fillId="10" borderId="0" xfId="0" applyNumberFormat="1" applyFont="1" applyFill="1" applyAlignment="1">
      <alignment vertical="center"/>
    </xf>
    <xf numFmtId="180" fontId="2" fillId="10" borderId="0" xfId="0" applyNumberFormat="1" applyFont="1" applyFill="1" applyAlignment="1">
      <alignment vertical="center"/>
    </xf>
    <xf numFmtId="0" fontId="2" fillId="0" borderId="0" xfId="0" applyFont="1" applyAlignment="1">
      <alignment horizontal="left" vertical="center" indent="2"/>
    </xf>
    <xf numFmtId="0" fontId="2" fillId="0" borderId="0" xfId="0" applyFont="1" applyAlignment="1">
      <alignment horizontal="left" vertical="center"/>
    </xf>
    <xf numFmtId="167" fontId="53" fillId="0" borderId="0" xfId="0" applyNumberFormat="1" applyFont="1" applyAlignment="1">
      <alignment horizontal="right" vertical="center"/>
    </xf>
    <xf numFmtId="16" fontId="2" fillId="0" borderId="0" xfId="0" applyNumberFormat="1" applyFont="1" applyAlignment="1">
      <alignment horizontal="right" vertical="center"/>
    </xf>
    <xf numFmtId="0" fontId="53" fillId="0" borderId="0" xfId="0" applyFont="1" applyAlignment="1">
      <alignment horizontal="left" vertical="center" indent="1"/>
    </xf>
    <xf numFmtId="9" fontId="47" fillId="10" borderId="0" xfId="0" applyNumberFormat="1" applyFont="1" applyFill="1" applyAlignment="1">
      <alignment vertical="center"/>
    </xf>
    <xf numFmtId="0" fontId="2" fillId="10" borderId="0" xfId="0" applyFont="1" applyFill="1" applyAlignment="1">
      <alignment horizontal="left" vertical="center"/>
    </xf>
    <xf numFmtId="0" fontId="48" fillId="10" borderId="0" xfId="0" applyFont="1" applyFill="1" applyAlignment="1">
      <alignment horizontal="left" vertical="center"/>
    </xf>
    <xf numFmtId="0" fontId="53" fillId="0" borderId="0" xfId="0" applyFont="1" applyAlignment="1">
      <alignment horizontal="left" vertical="center" indent="2"/>
    </xf>
    <xf numFmtId="0" fontId="2" fillId="0" borderId="2" xfId="0" applyFont="1" applyBorder="1" applyAlignment="1">
      <alignment vertical="center"/>
    </xf>
    <xf numFmtId="0" fontId="96" fillId="0" borderId="0" xfId="0" applyFont="1" applyAlignment="1">
      <alignment vertical="center"/>
    </xf>
    <xf numFmtId="0" fontId="2" fillId="0" borderId="1" xfId="0" applyFont="1" applyBorder="1" applyAlignment="1">
      <alignment vertical="center"/>
    </xf>
    <xf numFmtId="179" fontId="54" fillId="10" borderId="0" xfId="0" applyNumberFormat="1" applyFont="1" applyFill="1" applyAlignment="1">
      <alignment horizontal="right" vertical="center"/>
    </xf>
    <xf numFmtId="0" fontId="89" fillId="0" borderId="0" xfId="0" applyFont="1" applyAlignment="1">
      <alignment horizontal="left" vertical="center"/>
    </xf>
    <xf numFmtId="0" fontId="88" fillId="0" borderId="0" xfId="0" applyFont="1" applyAlignment="1">
      <alignment horizontal="right" vertical="center"/>
    </xf>
    <xf numFmtId="167" fontId="89" fillId="0" borderId="0" xfId="0" applyNumberFormat="1" applyFont="1" applyAlignment="1">
      <alignment vertical="center"/>
    </xf>
    <xf numFmtId="0" fontId="3" fillId="0" borderId="0" xfId="0" applyFont="1" applyAlignment="1">
      <alignment horizontal="left" vertical="center"/>
    </xf>
    <xf numFmtId="167" fontId="50" fillId="0" borderId="0" xfId="0" applyNumberFormat="1" applyFont="1" applyAlignment="1">
      <alignment vertical="center"/>
    </xf>
    <xf numFmtId="167" fontId="48" fillId="0" borderId="0" xfId="0" applyNumberFormat="1" applyFont="1" applyAlignment="1">
      <alignment horizontal="right" vertical="center"/>
    </xf>
    <xf numFmtId="0" fontId="53" fillId="10" borderId="0" xfId="0" applyFont="1" applyFill="1" applyAlignment="1">
      <alignment horizontal="right" vertical="center"/>
    </xf>
    <xf numFmtId="167" fontId="28" fillId="17" borderId="0" xfId="0" applyNumberFormat="1" applyFont="1" applyFill="1" applyAlignment="1">
      <alignment vertical="center"/>
    </xf>
    <xf numFmtId="0" fontId="2" fillId="10" borderId="27" xfId="0" applyFont="1" applyFill="1" applyBorder="1" applyAlignment="1">
      <alignment vertical="center"/>
    </xf>
    <xf numFmtId="0" fontId="3" fillId="0" borderId="0" xfId="0" applyFont="1" applyAlignment="1">
      <alignment vertical="center"/>
    </xf>
    <xf numFmtId="0" fontId="2" fillId="0" borderId="33" xfId="0" applyFont="1" applyBorder="1" applyAlignment="1">
      <alignment vertical="center"/>
    </xf>
    <xf numFmtId="0" fontId="2" fillId="0" borderId="34" xfId="0" applyFont="1" applyBorder="1" applyAlignment="1">
      <alignment vertical="center"/>
    </xf>
    <xf numFmtId="0" fontId="2" fillId="0" borderId="35" xfId="0" applyFont="1" applyBorder="1" applyAlignment="1">
      <alignment vertical="center"/>
    </xf>
    <xf numFmtId="0" fontId="89" fillId="0" borderId="0" xfId="0" applyFont="1" applyAlignment="1">
      <alignment vertical="center"/>
    </xf>
    <xf numFmtId="0" fontId="88" fillId="0" borderId="0" xfId="0" applyFont="1" applyAlignment="1">
      <alignment vertical="center"/>
    </xf>
    <xf numFmtId="166" fontId="2" fillId="0" borderId="0" xfId="0" applyNumberFormat="1" applyFont="1" applyAlignment="1">
      <alignment vertical="center"/>
    </xf>
    <xf numFmtId="0" fontId="2" fillId="0" borderId="34" xfId="0" applyFont="1" applyBorder="1" applyAlignment="1">
      <alignment horizontal="right" vertical="center"/>
    </xf>
    <xf numFmtId="9" fontId="2" fillId="8" borderId="0" xfId="0" applyNumberFormat="1" applyFont="1" applyFill="1" applyAlignment="1">
      <alignment horizontal="right" vertical="center"/>
    </xf>
    <xf numFmtId="179" fontId="2" fillId="0" borderId="0" xfId="0" applyNumberFormat="1" applyFont="1" applyAlignment="1">
      <alignment horizontal="right" vertical="center"/>
    </xf>
    <xf numFmtId="182" fontId="56" fillId="0" borderId="0" xfId="9" applyNumberFormat="1" applyFont="1" applyAlignment="1">
      <alignment horizontal="left" vertical="center" indent="1"/>
    </xf>
    <xf numFmtId="182" fontId="57" fillId="0" borderId="0" xfId="9" applyNumberFormat="1" applyFont="1" applyAlignment="1">
      <alignment horizontal="right" vertical="center"/>
    </xf>
    <xf numFmtId="182" fontId="90" fillId="0" borderId="0" xfId="9" applyNumberFormat="1" applyFont="1" applyAlignment="1">
      <alignment horizontal="right" vertical="center"/>
    </xf>
    <xf numFmtId="0" fontId="42" fillId="0" borderId="0" xfId="0" applyFont="1" applyAlignment="1">
      <alignment vertical="center"/>
    </xf>
    <xf numFmtId="167" fontId="2" fillId="17" borderId="0" xfId="0" applyNumberFormat="1" applyFont="1" applyFill="1" applyAlignment="1">
      <alignment vertical="center"/>
    </xf>
    <xf numFmtId="0" fontId="47" fillId="0" borderId="27" xfId="0" applyFont="1" applyBorder="1" applyAlignment="1">
      <alignment vertical="center"/>
    </xf>
    <xf numFmtId="0" fontId="28" fillId="0" borderId="27" xfId="0" applyFont="1" applyBorder="1" applyAlignment="1">
      <alignment vertical="center"/>
    </xf>
    <xf numFmtId="8" fontId="2" fillId="0" borderId="0" xfId="0" applyNumberFormat="1" applyFont="1" applyAlignment="1">
      <alignment vertical="center"/>
    </xf>
    <xf numFmtId="0" fontId="58" fillId="10" borderId="35" xfId="0" applyFont="1" applyFill="1" applyBorder="1" applyAlignment="1">
      <alignment vertical="center"/>
    </xf>
    <xf numFmtId="166" fontId="4" fillId="0" borderId="0" xfId="7" applyNumberFormat="1" applyFont="1" applyProtection="1"/>
    <xf numFmtId="188" fontId="60" fillId="0" borderId="0" xfId="8" applyNumberFormat="1" applyFont="1"/>
    <xf numFmtId="182" fontId="60" fillId="0" borderId="0" xfId="8" quotePrefix="1" applyNumberFormat="1" applyFont="1" applyAlignment="1">
      <alignment horizontal="right"/>
    </xf>
    <xf numFmtId="181" fontId="59" fillId="0" borderId="39" xfId="8" applyFont="1" applyBorder="1" applyAlignment="1">
      <alignment horizontal="left" vertical="center"/>
    </xf>
    <xf numFmtId="182" fontId="60" fillId="0" borderId="39" xfId="8" applyNumberFormat="1" applyFont="1" applyBorder="1"/>
    <xf numFmtId="181" fontId="59" fillId="0" borderId="0" xfId="8" applyFont="1" applyAlignment="1">
      <alignment horizontal="left" vertical="center"/>
    </xf>
    <xf numFmtId="182" fontId="60" fillId="0" borderId="0" xfId="8" applyNumberFormat="1" applyFont="1" applyAlignment="1">
      <alignment horizontal="right"/>
    </xf>
    <xf numFmtId="181" fontId="60" fillId="0" borderId="0" xfId="8" applyFont="1" applyAlignment="1">
      <alignment horizontal="left"/>
    </xf>
    <xf numFmtId="182" fontId="61" fillId="0" borderId="0" xfId="8" applyNumberFormat="1" applyFont="1" applyAlignment="1">
      <alignment horizontal="right"/>
    </xf>
    <xf numFmtId="182" fontId="80" fillId="0" borderId="0" xfId="8" applyNumberFormat="1" applyFont="1"/>
    <xf numFmtId="41" fontId="80" fillId="0" borderId="0" xfId="11" applyNumberFormat="1" applyFont="1" applyFill="1" applyBorder="1" applyProtection="1"/>
    <xf numFmtId="41" fontId="61" fillId="0" borderId="0" xfId="8" applyNumberFormat="1" applyFont="1"/>
    <xf numFmtId="41" fontId="80" fillId="0" borderId="31" xfId="11" applyNumberFormat="1" applyFont="1" applyFill="1" applyBorder="1" applyProtection="1"/>
    <xf numFmtId="41" fontId="61" fillId="0" borderId="31" xfId="8" applyNumberFormat="1" applyFont="1" applyBorder="1"/>
    <xf numFmtId="182" fontId="59" fillId="0" borderId="0" xfId="8" applyNumberFormat="1" applyFont="1" applyAlignment="1">
      <alignment horizontal="left"/>
    </xf>
    <xf numFmtId="9" fontId="60" fillId="0" borderId="0" xfId="3" applyFont="1" applyFill="1" applyAlignment="1" applyProtection="1">
      <alignment horizontal="right"/>
    </xf>
    <xf numFmtId="166" fontId="60" fillId="0" borderId="0" xfId="11" applyNumberFormat="1" applyFont="1" applyFill="1" applyProtection="1"/>
    <xf numFmtId="41" fontId="80" fillId="0" borderId="57" xfId="11" applyNumberFormat="1" applyFont="1" applyFill="1" applyBorder="1" applyProtection="1"/>
    <xf numFmtId="41" fontId="61" fillId="0" borderId="58" xfId="11" applyNumberFormat="1" applyFont="1" applyFill="1" applyBorder="1" applyProtection="1"/>
    <xf numFmtId="41" fontId="61" fillId="0" borderId="0" xfId="11" applyNumberFormat="1" applyFont="1" applyFill="1" applyBorder="1" applyProtection="1"/>
    <xf numFmtId="41" fontId="18" fillId="0" borderId="0" xfId="8" applyNumberFormat="1" applyFont="1"/>
    <xf numFmtId="181" fontId="83" fillId="22" borderId="59" xfId="15" applyFont="1" applyFill="1" applyBorder="1" applyProtection="1"/>
    <xf numFmtId="181" fontId="83" fillId="22" borderId="60" xfId="15" applyFont="1" applyFill="1" applyBorder="1" applyProtection="1"/>
    <xf numFmtId="181" fontId="83" fillId="22" borderId="61" xfId="15" applyFont="1" applyFill="1" applyBorder="1" applyProtection="1"/>
    <xf numFmtId="182" fontId="18" fillId="0" borderId="0" xfId="8" applyNumberFormat="1" applyFont="1"/>
    <xf numFmtId="182" fontId="84" fillId="0" borderId="0" xfId="8" applyNumberFormat="1" applyFont="1" applyAlignment="1">
      <alignment horizontal="center"/>
    </xf>
    <xf numFmtId="182" fontId="85" fillId="0" borderId="0" xfId="8" applyNumberFormat="1" applyFont="1"/>
    <xf numFmtId="166" fontId="60" fillId="23" borderId="0" xfId="10" applyNumberFormat="1" applyFont="1" applyFill="1" applyProtection="1"/>
    <xf numFmtId="166" fontId="59" fillId="0" borderId="0" xfId="10" applyNumberFormat="1" applyFont="1" applyFill="1" applyProtection="1"/>
    <xf numFmtId="9" fontId="71" fillId="0" borderId="0" xfId="3" applyFont="1" applyFill="1" applyProtection="1"/>
    <xf numFmtId="9" fontId="60" fillId="0" borderId="0" xfId="3" applyFont="1" applyFill="1" applyProtection="1"/>
    <xf numFmtId="0" fontId="10" fillId="0" borderId="0" xfId="0" applyFont="1"/>
    <xf numFmtId="182" fontId="106" fillId="0" borderId="0" xfId="8" applyNumberFormat="1" applyFont="1"/>
    <xf numFmtId="170" fontId="23" fillId="0" borderId="0" xfId="0" applyNumberFormat="1" applyFont="1"/>
    <xf numFmtId="167" fontId="10" fillId="0" borderId="0" xfId="0" applyNumberFormat="1" applyFont="1"/>
    <xf numFmtId="6" fontId="33" fillId="0" borderId="0" xfId="0" applyNumberFormat="1" applyFont="1"/>
    <xf numFmtId="9" fontId="23" fillId="0" borderId="0" xfId="0" applyNumberFormat="1" applyFont="1"/>
    <xf numFmtId="178" fontId="10" fillId="0" borderId="0" xfId="0" applyNumberFormat="1" applyFont="1"/>
    <xf numFmtId="9" fontId="10" fillId="0" borderId="0" xfId="0" applyNumberFormat="1" applyFont="1"/>
    <xf numFmtId="0" fontId="10" fillId="0" borderId="0" xfId="0" applyFont="1" applyAlignment="1">
      <alignment vertical="center" wrapText="1"/>
    </xf>
    <xf numFmtId="10" fontId="10" fillId="0" borderId="0" xfId="0" applyNumberFormat="1" applyFont="1"/>
    <xf numFmtId="44" fontId="10" fillId="0" borderId="0" xfId="0" applyNumberFormat="1" applyFont="1"/>
    <xf numFmtId="44" fontId="10" fillId="0" borderId="0" xfId="0" applyNumberFormat="1" applyFont="1" applyAlignment="1">
      <alignment horizontal="right"/>
    </xf>
    <xf numFmtId="44" fontId="33" fillId="0" borderId="0" xfId="0" applyNumberFormat="1" applyFont="1"/>
    <xf numFmtId="44" fontId="10" fillId="0" borderId="0" xfId="2" applyFont="1" applyFill="1" applyBorder="1" applyProtection="1"/>
    <xf numFmtId="9" fontId="10" fillId="0" borderId="0" xfId="2" applyNumberFormat="1" applyFont="1" applyFill="1" applyBorder="1" applyProtection="1"/>
    <xf numFmtId="0" fontId="10" fillId="0" borderId="0" xfId="0" applyFont="1" applyAlignment="1">
      <alignment vertical="center" textRotation="90" wrapText="1"/>
    </xf>
    <xf numFmtId="0" fontId="106" fillId="0" borderId="0" xfId="0" applyFont="1"/>
    <xf numFmtId="6" fontId="10" fillId="0" borderId="0" xfId="0" applyNumberFormat="1" applyFont="1"/>
    <xf numFmtId="170" fontId="10" fillId="0" borderId="0" xfId="0" applyNumberFormat="1" applyFont="1"/>
    <xf numFmtId="169" fontId="33" fillId="0" borderId="0" xfId="0" applyNumberFormat="1" applyFont="1"/>
    <xf numFmtId="169" fontId="10" fillId="0" borderId="0" xfId="0" applyNumberFormat="1" applyFont="1"/>
    <xf numFmtId="8" fontId="10" fillId="0" borderId="0" xfId="0" applyNumberFormat="1" applyFont="1"/>
    <xf numFmtId="0" fontId="111" fillId="27" borderId="92" xfId="18" applyBorder="1">
      <alignment vertical="center" wrapText="1"/>
    </xf>
    <xf numFmtId="0" fontId="110" fillId="0" borderId="90" xfId="27" applyBorder="1" applyAlignment="1">
      <alignment vertical="center" wrapText="1"/>
    </xf>
    <xf numFmtId="0" fontId="110" fillId="0" borderId="92" xfId="27" applyBorder="1" applyAlignment="1">
      <alignment vertical="center"/>
    </xf>
    <xf numFmtId="0" fontId="110" fillId="0" borderId="147" xfId="27" applyBorder="1" applyAlignment="1">
      <alignment vertical="center" wrapText="1"/>
    </xf>
    <xf numFmtId="0" fontId="110" fillId="0" borderId="95" xfId="27" applyBorder="1" applyAlignment="1">
      <alignment vertical="center"/>
    </xf>
    <xf numFmtId="0" fontId="110" fillId="0" borderId="148" xfId="27" applyBorder="1" applyAlignment="1">
      <alignment vertical="center" wrapText="1"/>
    </xf>
    <xf numFmtId="0" fontId="110" fillId="0" borderId="149" xfId="27" applyBorder="1" applyAlignment="1">
      <alignment vertical="center"/>
    </xf>
    <xf numFmtId="0" fontId="110" fillId="0" borderId="150" xfId="27" applyBorder="1" applyAlignment="1">
      <alignment vertical="center"/>
    </xf>
    <xf numFmtId="0" fontId="110" fillId="26" borderId="90" xfId="19" applyFill="1" applyBorder="1" applyAlignment="1">
      <alignment vertical="center" wrapText="1"/>
    </xf>
    <xf numFmtId="0" fontId="110" fillId="26" borderId="92" xfId="19" applyFill="1" applyBorder="1" applyAlignment="1">
      <alignment vertical="center" wrapText="1"/>
    </xf>
    <xf numFmtId="0" fontId="110" fillId="26" borderId="92" xfId="19" applyFill="1" applyBorder="1" applyAlignment="1">
      <alignment vertical="center"/>
    </xf>
    <xf numFmtId="0" fontId="110" fillId="26" borderId="90" xfId="19" applyFill="1" applyBorder="1" applyAlignment="1">
      <alignment vertical="center"/>
    </xf>
    <xf numFmtId="0" fontId="110" fillId="3" borderId="90" xfId="19" applyFill="1" applyBorder="1" applyAlignment="1">
      <alignment vertical="center"/>
    </xf>
    <xf numFmtId="0" fontId="110" fillId="3" borderId="92" xfId="19" applyFill="1" applyBorder="1" applyAlignment="1">
      <alignment vertical="center" wrapText="1"/>
    </xf>
    <xf numFmtId="0" fontId="110" fillId="3" borderId="92" xfId="19" applyFill="1" applyBorder="1" applyAlignment="1">
      <alignment vertical="center"/>
    </xf>
    <xf numFmtId="0" fontId="107" fillId="27" borderId="0" xfId="0" applyFont="1" applyFill="1"/>
    <xf numFmtId="0" fontId="123" fillId="25" borderId="97" xfId="0" applyFont="1" applyFill="1" applyBorder="1" applyAlignment="1">
      <alignment horizontal="center" vertical="center" wrapText="1"/>
    </xf>
    <xf numFmtId="0" fontId="130" fillId="10" borderId="93" xfId="28" applyFont="1" applyFill="1" applyBorder="1" applyAlignment="1">
      <alignment horizontal="center"/>
    </xf>
    <xf numFmtId="0" fontId="107" fillId="27" borderId="0" xfId="28" applyBorder="1" applyAlignment="1">
      <alignment horizontal="left"/>
    </xf>
    <xf numFmtId="0" fontId="133" fillId="27" borderId="0" xfId="0" applyFont="1" applyFill="1"/>
    <xf numFmtId="0" fontId="86" fillId="12" borderId="80" xfId="0" applyFont="1" applyFill="1" applyBorder="1" applyAlignment="1">
      <alignment horizontal="center" vertical="center" wrapText="1" readingOrder="1"/>
    </xf>
    <xf numFmtId="0" fontId="86" fillId="12" borderId="63" xfId="0" applyFont="1" applyFill="1" applyBorder="1" applyAlignment="1">
      <alignment horizontal="center" vertical="center" wrapText="1" readingOrder="1"/>
    </xf>
    <xf numFmtId="0" fontId="86" fillId="3" borderId="80" xfId="0" applyFont="1" applyFill="1" applyBorder="1" applyAlignment="1">
      <alignment horizontal="center" vertical="center" readingOrder="1"/>
    </xf>
    <xf numFmtId="0" fontId="86" fillId="3" borderId="63" xfId="0" applyFont="1" applyFill="1" applyBorder="1" applyAlignment="1">
      <alignment horizontal="center" vertical="center" readingOrder="1"/>
    </xf>
    <xf numFmtId="0" fontId="86" fillId="9" borderId="80" xfId="0" applyFont="1" applyFill="1" applyBorder="1" applyAlignment="1">
      <alignment horizontal="center" vertical="center" wrapText="1" readingOrder="1"/>
    </xf>
    <xf numFmtId="0" fontId="86" fillId="9" borderId="63" xfId="0" applyFont="1" applyFill="1" applyBorder="1" applyAlignment="1">
      <alignment horizontal="center" vertical="center" wrapText="1" readingOrder="1"/>
    </xf>
    <xf numFmtId="0" fontId="130" fillId="10" borderId="50" xfId="28" applyFont="1" applyFill="1" applyBorder="1" applyAlignment="1">
      <alignment horizontal="center"/>
    </xf>
    <xf numFmtId="0" fontId="130" fillId="27" borderId="50" xfId="28" applyFont="1" applyBorder="1" applyAlignment="1">
      <alignment horizontal="center"/>
    </xf>
    <xf numFmtId="0" fontId="0" fillId="10" borderId="0" xfId="0" applyFill="1" applyAlignment="1">
      <alignment horizontal="center"/>
    </xf>
    <xf numFmtId="0" fontId="41" fillId="14" borderId="70" xfId="0" applyFont="1" applyFill="1" applyBorder="1" applyAlignment="1">
      <alignment horizontal="center" vertical="center"/>
    </xf>
    <xf numFmtId="0" fontId="41" fillId="14" borderId="53" xfId="0" applyFont="1" applyFill="1" applyBorder="1" applyAlignment="1">
      <alignment horizontal="center" vertical="center"/>
    </xf>
    <xf numFmtId="0" fontId="132" fillId="27" borderId="0" xfId="0" applyFont="1" applyFill="1"/>
    <xf numFmtId="0" fontId="41" fillId="14" borderId="76" xfId="0" applyFont="1" applyFill="1" applyBorder="1" applyAlignment="1">
      <alignment horizontal="center" vertical="center"/>
    </xf>
    <xf numFmtId="0" fontId="41" fillId="14" borderId="77" xfId="0" applyFont="1" applyFill="1" applyBorder="1" applyAlignment="1">
      <alignment horizontal="center" vertical="center"/>
    </xf>
    <xf numFmtId="0" fontId="41" fillId="14" borderId="78" xfId="0" applyFont="1" applyFill="1" applyBorder="1" applyAlignment="1">
      <alignment horizontal="center" vertical="center"/>
    </xf>
    <xf numFmtId="0" fontId="41" fillId="14" borderId="81" xfId="0" applyFont="1" applyFill="1" applyBorder="1" applyAlignment="1">
      <alignment horizontal="center" vertical="center"/>
    </xf>
    <xf numFmtId="0" fontId="41" fillId="14" borderId="57" xfId="0" applyFont="1" applyFill="1" applyBorder="1" applyAlignment="1">
      <alignment horizontal="center" vertical="center"/>
    </xf>
    <xf numFmtId="0" fontId="103" fillId="0" borderId="62" xfId="0" applyFont="1" applyBorder="1" applyAlignment="1">
      <alignment horizontal="left" vertical="center" indent="1"/>
    </xf>
    <xf numFmtId="0" fontId="104" fillId="0" borderId="0" xfId="0" applyFont="1" applyAlignment="1">
      <alignment horizontal="center" vertical="center"/>
    </xf>
    <xf numFmtId="0" fontId="0" fillId="0" borderId="54" xfId="0" applyBorder="1" applyAlignment="1">
      <alignment horizontal="center"/>
    </xf>
    <xf numFmtId="0" fontId="2" fillId="10" borderId="99" xfId="0" applyFont="1" applyFill="1" applyBorder="1" applyAlignment="1">
      <alignment horizontal="center" vertical="center"/>
    </xf>
    <xf numFmtId="0" fontId="2" fillId="10" borderId="105" xfId="0" applyFont="1" applyFill="1" applyBorder="1" applyAlignment="1">
      <alignment horizontal="center" vertical="center"/>
    </xf>
    <xf numFmtId="0" fontId="2" fillId="10" borderId="106" xfId="0" applyFont="1" applyFill="1" applyBorder="1" applyAlignment="1">
      <alignment horizontal="center" vertical="center" wrapText="1"/>
    </xf>
    <xf numFmtId="0" fontId="2" fillId="10" borderId="107" xfId="0" applyFont="1" applyFill="1" applyBorder="1" applyAlignment="1">
      <alignment horizontal="center" vertical="center" wrapText="1"/>
    </xf>
    <xf numFmtId="0" fontId="2" fillId="10" borderId="108" xfId="0" applyFont="1" applyFill="1" applyBorder="1" applyAlignment="1">
      <alignment horizontal="center" vertical="center" wrapText="1"/>
    </xf>
    <xf numFmtId="0" fontId="2" fillId="10" borderId="99" xfId="0" applyFont="1" applyFill="1" applyBorder="1" applyAlignment="1">
      <alignment horizontal="center" vertical="center" wrapText="1"/>
    </xf>
    <xf numFmtId="0" fontId="2" fillId="10" borderId="109" xfId="0" applyFont="1" applyFill="1" applyBorder="1" applyAlignment="1">
      <alignment horizontal="center" vertical="center" wrapText="1"/>
    </xf>
    <xf numFmtId="0" fontId="2" fillId="10" borderId="100" xfId="0" applyFont="1" applyFill="1" applyBorder="1" applyAlignment="1">
      <alignment horizontal="center" vertical="center" wrapText="1"/>
    </xf>
    <xf numFmtId="0" fontId="2" fillId="10" borderId="110" xfId="0" applyFont="1" applyFill="1" applyBorder="1" applyAlignment="1">
      <alignment horizontal="center" vertical="center" wrapText="1"/>
    </xf>
    <xf numFmtId="0" fontId="2" fillId="10" borderId="105" xfId="0" applyFont="1" applyFill="1" applyBorder="1" applyAlignment="1">
      <alignment horizontal="center" vertical="center" wrapText="1"/>
    </xf>
    <xf numFmtId="0" fontId="124" fillId="27" borderId="0" xfId="0" applyFont="1" applyFill="1"/>
    <xf numFmtId="0" fontId="135" fillId="10" borderId="0" xfId="28" applyFont="1" applyFill="1" applyBorder="1" applyAlignment="1">
      <alignment horizontal="left"/>
    </xf>
    <xf numFmtId="0" fontId="6" fillId="0" borderId="0" xfId="0" applyFont="1" applyAlignment="1">
      <alignment horizontal="left"/>
    </xf>
    <xf numFmtId="0" fontId="134" fillId="27" borderId="0" xfId="0" applyFont="1" applyFill="1"/>
    <xf numFmtId="0" fontId="5" fillId="0" borderId="12" xfId="0" applyFont="1" applyBorder="1" applyAlignment="1">
      <alignment horizontal="center"/>
    </xf>
    <xf numFmtId="0" fontId="5" fillId="0" borderId="14" xfId="0" applyFont="1" applyBorder="1" applyAlignment="1">
      <alignment horizontal="center"/>
    </xf>
    <xf numFmtId="0" fontId="5" fillId="0" borderId="13" xfId="0" applyFont="1" applyBorder="1" applyAlignment="1">
      <alignment horizontal="center"/>
    </xf>
    <xf numFmtId="0" fontId="19" fillId="0" borderId="0" xfId="0" applyFont="1" applyAlignment="1">
      <alignment horizontal="center" vertical="center" wrapText="1"/>
    </xf>
    <xf numFmtId="0" fontId="5" fillId="0" borderId="12"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xf>
    <xf numFmtId="0" fontId="21" fillId="0" borderId="0" xfId="0" applyFont="1" applyAlignment="1">
      <alignment horizontal="center" vertical="center" wrapText="1"/>
    </xf>
    <xf numFmtId="0" fontId="5" fillId="0" borderId="8"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5" fillId="0" borderId="15" xfId="0" applyFont="1" applyBorder="1" applyAlignment="1">
      <alignment horizontal="center" vertical="center"/>
    </xf>
    <xf numFmtId="0" fontId="5" fillId="0" borderId="16" xfId="0" applyFont="1" applyBorder="1" applyAlignment="1">
      <alignment horizontal="center" vertical="center"/>
    </xf>
  </cellXfs>
  <cellStyles count="30">
    <cellStyle name="Comma" xfId="1" builtinId="3"/>
    <cellStyle name="Comma 2" xfId="7" xr:uid="{7B5998B5-0A0B-4423-B526-765B49355F3C}"/>
    <cellStyle name="Comma 2 2" xfId="11" xr:uid="{485C1ED6-E113-4465-816B-7E78126F27B5}"/>
    <cellStyle name="Comma 2 2 2" xfId="6" xr:uid="{4F5ED1E6-24C2-4448-AC75-AD358E9A8D06}"/>
    <cellStyle name="Comma 3" xfId="10" xr:uid="{C5FA7453-9A24-4124-B0A9-0CCC71CE0D90}"/>
    <cellStyle name="Comma 3 2" xfId="14" xr:uid="{5EFC5FD2-DBC5-4224-BA1F-935D19326562}"/>
    <cellStyle name="Comma 4" xfId="12" xr:uid="{61B8A563-73CA-429C-A1FB-DD4C29873B82}"/>
    <cellStyle name="Currency" xfId="2" builtinId="4"/>
    <cellStyle name="Currency 3" xfId="4" xr:uid="{00000000-0005-0000-0000-000002000000}"/>
    <cellStyle name="Heading 1 2" xfId="28" xr:uid="{12DF139D-FBF1-4BF5-9100-596A8CDDC662}"/>
    <cellStyle name="Heading 2 2" xfId="29" xr:uid="{BF2B33BA-4BCA-4ED2-9F8B-9A627D708485}"/>
    <cellStyle name="N_Calc1" xfId="21" xr:uid="{D1BA4A35-BCC1-44EF-B103-245D6CDF97A1}"/>
    <cellStyle name="N_Calc2" xfId="22" xr:uid="{60838C69-A9F5-4ABD-BA97-F6608AFFE0C4}"/>
    <cellStyle name="N_Calc3" xfId="23" xr:uid="{81132755-732D-4B47-9339-5CE5744AA376}"/>
    <cellStyle name="N_Calc4" xfId="25" xr:uid="{981A82AD-D970-4A44-AED6-0B7AE925D123}"/>
    <cellStyle name="N_Calc5" xfId="26" xr:uid="{D2DB28F4-77E6-49D4-81D7-E052E310407D}"/>
    <cellStyle name="N_CalcSum" xfId="24" xr:uid="{781F9BD0-6F6B-4809-9060-8EC6B395FABE}"/>
    <cellStyle name="N_Comment" xfId="16" xr:uid="{382D7296-37B3-4B5E-B6FB-BDA6EC8F724D}"/>
    <cellStyle name="N_Input" xfId="17" xr:uid="{22A69E4B-F375-4E4A-B86B-5570AD5E66D7}"/>
    <cellStyle name="N_InputList" xfId="20" xr:uid="{96C8AF29-17CE-4474-9527-5D867EFFFA21}"/>
    <cellStyle name="N_Table1_Header" xfId="18" xr:uid="{BDC61F59-2750-4B3A-A8FA-2172E0539727}"/>
    <cellStyle name="N_Table2_Cell" xfId="19" xr:uid="{4B4BC097-1A7F-44C2-827F-670FA1396637}"/>
    <cellStyle name="Normal" xfId="0" builtinId="0"/>
    <cellStyle name="Normal 2" xfId="9" xr:uid="{10B1BDDE-3622-4412-8AD3-49BF082E8761}"/>
    <cellStyle name="Normal 2 3" xfId="8" xr:uid="{B59565FB-5298-43E9-9641-4A560B8F3958}"/>
    <cellStyle name="Normal 2 4" xfId="5" xr:uid="{9724B3C7-576A-44E8-A243-708251E17D7E}"/>
    <cellStyle name="Normal 3" xfId="27" xr:uid="{C42BFD9E-C2E8-44EA-90A7-AD3FBEED58A4}"/>
    <cellStyle name="Percent" xfId="3" builtinId="5"/>
    <cellStyle name="Percent 3" xfId="13" xr:uid="{EF7E677C-D79F-44A4-B10D-A5C0B297190D}"/>
    <cellStyle name="zed" xfId="15" xr:uid="{BDC74503-503D-488D-90BB-0E0B2A6CD403}"/>
  </cellStyles>
  <dxfs count="6">
    <dxf>
      <font>
        <b/>
        <i val="0"/>
        <color rgb="FF006100"/>
      </font>
    </dxf>
    <dxf>
      <font>
        <b/>
        <i val="0"/>
        <color rgb="FFC00000"/>
      </font>
    </dxf>
    <dxf>
      <font>
        <b/>
        <i val="0"/>
        <color rgb="FF006100"/>
      </font>
    </dxf>
    <dxf>
      <font>
        <b/>
        <i val="0"/>
        <color rgb="FFC00000"/>
      </font>
    </dxf>
    <dxf>
      <font>
        <b/>
        <i/>
        <strike val="0"/>
        <color theme="9" tint="-0.24994659260841701"/>
      </font>
      <fill>
        <patternFill patternType="none">
          <bgColor auto="1"/>
        </patternFill>
      </fill>
    </dxf>
    <dxf>
      <font>
        <b/>
        <i/>
        <color rgb="FFC00000"/>
      </font>
      <fill>
        <patternFill patternType="none">
          <bgColor auto="1"/>
        </patternFill>
      </fill>
    </dxf>
  </dxfs>
  <tableStyles count="1" defaultTableStyle="TableStyleMedium2" defaultPivotStyle="PivotStyleLight16">
    <tableStyle name="Invisible" pivot="0" table="0" count="0" xr9:uid="{D9965668-DCF3-4C04-A72A-CAC02BAABB06}"/>
  </tableStyles>
  <colors>
    <mruColors>
      <color rgb="FF0000FF"/>
      <color rgb="FFFFCCCC"/>
      <color rgb="FFEADCF0"/>
      <color rgb="FFE7E6E6"/>
      <color rgb="FFCCCCFF"/>
      <color rgb="FFFF896D"/>
      <color rgb="FF66FFFF"/>
      <color rgb="FFA2E4F4"/>
      <color rgb="FFB9FFF2"/>
      <color rgb="FFC7F2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spc="0" baseline="0">
                <a:solidFill>
                  <a:sysClr val="windowText" lastClr="000000"/>
                </a:solidFill>
                <a:latin typeface="Aptos" panose="020B0004020202020204" pitchFamily="34" charset="0"/>
                <a:ea typeface="+mn-ea"/>
                <a:cs typeface="+mn-cs"/>
              </a:defRPr>
            </a:pPr>
            <a:r>
              <a:rPr lang="en-US" sz="2000">
                <a:latin typeface="Aptos" panose="020B0004020202020204" pitchFamily="34" charset="0"/>
              </a:rPr>
              <a:t>Total Benefits by Year ($)</a:t>
            </a:r>
          </a:p>
        </c:rich>
      </c:tx>
      <c:overlay val="0"/>
      <c:spPr>
        <a:noFill/>
        <a:ln>
          <a:noFill/>
        </a:ln>
        <a:effectLst/>
      </c:spPr>
      <c:txPr>
        <a:bodyPr rot="0" spcFirstLastPara="1" vertOverflow="ellipsis" vert="horz" wrap="square" anchor="ctr" anchorCtr="1"/>
        <a:lstStyle/>
        <a:p>
          <a:pPr>
            <a:defRPr sz="2000" b="0" i="0" u="none" strike="noStrike" kern="1200" spc="0" baseline="0">
              <a:solidFill>
                <a:sysClr val="windowText" lastClr="000000"/>
              </a:solidFill>
              <a:latin typeface="Aptos" panose="020B0004020202020204" pitchFamily="34" charset="0"/>
              <a:ea typeface="+mn-ea"/>
              <a:cs typeface="+mn-cs"/>
            </a:defRPr>
          </a:pPr>
          <a:endParaRPr lang="en-US"/>
        </a:p>
      </c:txPr>
    </c:title>
    <c:autoTitleDeleted val="0"/>
    <c:plotArea>
      <c:layout>
        <c:manualLayout>
          <c:layoutTarget val="inner"/>
          <c:xMode val="edge"/>
          <c:yMode val="edge"/>
          <c:x val="6.8401961068528472E-2"/>
          <c:y val="9.2624949310328872E-2"/>
          <c:w val="0.7381829092383223"/>
          <c:h val="0.80566114688710011"/>
        </c:manualLayout>
      </c:layout>
      <c:barChart>
        <c:barDir val="col"/>
        <c:grouping val="stacked"/>
        <c:varyColors val="0"/>
        <c:ser>
          <c:idx val="0"/>
          <c:order val="0"/>
          <c:tx>
            <c:strRef>
              <c:f>Dashboard!$X$5</c:f>
              <c:strCache>
                <c:ptCount val="1"/>
                <c:pt idx="0">
                  <c:v>Capacity - PJM Market</c:v>
                </c:pt>
              </c:strCache>
            </c:strRef>
          </c:tx>
          <c:spPr>
            <a:solidFill>
              <a:srgbClr val="1F4E78"/>
            </a:solidFill>
            <a:ln>
              <a:solidFill>
                <a:srgbClr val="1F4E78"/>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Dashboard!$Y$5:$AS$5</c15:sqref>
                  </c15:fullRef>
                </c:ext>
              </c:extLst>
              <c:f>Dashboard!$Z$5:$AS$5</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0-BA07-445E-9C8F-B9C3711BB270}"/>
            </c:ext>
          </c:extLst>
        </c:ser>
        <c:ser>
          <c:idx val="1"/>
          <c:order val="1"/>
          <c:tx>
            <c:strRef>
              <c:f>Dashboard!$X$6</c:f>
              <c:strCache>
                <c:ptCount val="1"/>
                <c:pt idx="0">
                  <c:v>Energy Arbitrage - PJM Market</c:v>
                </c:pt>
              </c:strCache>
            </c:strRef>
          </c:tx>
          <c:spPr>
            <a:solidFill>
              <a:srgbClr val="2E75B6"/>
            </a:solidFill>
            <a:ln>
              <a:solidFill>
                <a:srgbClr val="2E75B6"/>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Dashboard!$Y$6:$AS$6</c15:sqref>
                  </c15:fullRef>
                </c:ext>
              </c:extLst>
              <c:f>Dashboard!$Z$6:$AS$6</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1-BA07-445E-9C8F-B9C3711BB270}"/>
            </c:ext>
          </c:extLst>
        </c:ser>
        <c:ser>
          <c:idx val="2"/>
          <c:order val="2"/>
          <c:tx>
            <c:strRef>
              <c:f>Dashboard!$X$7</c:f>
              <c:strCache>
                <c:ptCount val="1"/>
                <c:pt idx="0">
                  <c:v>Spin- PJM Market</c:v>
                </c:pt>
              </c:strCache>
            </c:strRef>
          </c:tx>
          <c:spPr>
            <a:solidFill>
              <a:srgbClr val="5B9BD5"/>
            </a:solidFill>
            <a:ln>
              <a:solidFill>
                <a:srgbClr val="5B9BD5"/>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Dashboard!$Y$7:$AS$7</c15:sqref>
                  </c15:fullRef>
                </c:ext>
              </c:extLst>
              <c:f>Dashboard!$Z$7:$AS$7</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2-BA07-445E-9C8F-B9C3711BB270}"/>
            </c:ext>
          </c:extLst>
        </c:ser>
        <c:ser>
          <c:idx val="3"/>
          <c:order val="3"/>
          <c:tx>
            <c:strRef>
              <c:f>Dashboard!$X$8</c:f>
              <c:strCache>
                <c:ptCount val="1"/>
                <c:pt idx="0">
                  <c:v>Non-Spin - PJM Market</c:v>
                </c:pt>
              </c:strCache>
            </c:strRef>
          </c:tx>
          <c:spPr>
            <a:solidFill>
              <a:srgbClr val="9DC3E6"/>
            </a:solidFill>
            <a:ln>
              <a:solidFill>
                <a:srgbClr val="9DC3E6"/>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Dashboard!$Y$8:$AS$8</c15:sqref>
                  </c15:fullRef>
                </c:ext>
              </c:extLst>
              <c:f>Dashboard!$Z$8:$AS$8</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3-BA07-445E-9C8F-B9C3711BB270}"/>
            </c:ext>
          </c:extLst>
        </c:ser>
        <c:ser>
          <c:idx val="4"/>
          <c:order val="4"/>
          <c:tx>
            <c:strRef>
              <c:f>Dashboard!$X$9</c:f>
              <c:strCache>
                <c:ptCount val="1"/>
                <c:pt idx="0">
                  <c:v>Regulation - PJM Market</c:v>
                </c:pt>
              </c:strCache>
            </c:strRef>
          </c:tx>
          <c:spPr>
            <a:solidFill>
              <a:srgbClr val="BDD7EE"/>
            </a:solidFill>
            <a:ln>
              <a:solidFill>
                <a:srgbClr val="BDD7EE"/>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Dashboard!$Y$9:$AS$9</c15:sqref>
                  </c15:fullRef>
                </c:ext>
              </c:extLst>
              <c:f>Dashboard!$Z$9:$AS$9</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4-BA07-445E-9C8F-B9C3711BB270}"/>
            </c:ext>
          </c:extLst>
        </c:ser>
        <c:ser>
          <c:idx val="5"/>
          <c:order val="5"/>
          <c:tx>
            <c:strRef>
              <c:f>Dashboard!$X$10</c:f>
              <c:strCache>
                <c:ptCount val="1"/>
                <c:pt idx="0">
                  <c:v>Incurred Energy Charges</c:v>
                </c:pt>
              </c:strCache>
            </c:strRef>
          </c:tx>
          <c:spPr>
            <a:solidFill>
              <a:srgbClr val="C00000"/>
            </a:solidFill>
            <a:ln>
              <a:solidFill>
                <a:srgbClr val="C00000"/>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Dashboard!$Y$10:$AS$10</c15:sqref>
                  </c15:fullRef>
                </c:ext>
              </c:extLst>
              <c:f>Dashboard!$Z$10:$AS$10</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5-BA07-445E-9C8F-B9C3711BB270}"/>
            </c:ext>
          </c:extLst>
        </c:ser>
        <c:ser>
          <c:idx val="6"/>
          <c:order val="6"/>
          <c:tx>
            <c:strRef>
              <c:f>Dashboard!$X$11</c:f>
              <c:strCache>
                <c:ptCount val="1"/>
                <c:pt idx="0">
                  <c:v>As Used Demand Charges</c:v>
                </c:pt>
              </c:strCache>
            </c:strRef>
          </c:tx>
          <c:spPr>
            <a:solidFill>
              <a:srgbClr val="E97132"/>
            </a:solidFill>
            <a:ln>
              <a:solidFill>
                <a:srgbClr val="E97132"/>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Dashboard!$Y$11:$AS$11</c15:sqref>
                  </c15:fullRef>
                </c:ext>
              </c:extLst>
              <c:f>Dashboard!$Z$11:$AS$11</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6-BA07-445E-9C8F-B9C3711BB270}"/>
            </c:ext>
          </c:extLst>
        </c:ser>
        <c:ser>
          <c:idx val="7"/>
          <c:order val="7"/>
          <c:tx>
            <c:strRef>
              <c:f>Dashboard!$X$12</c:f>
              <c:strCache>
                <c:ptCount val="1"/>
                <c:pt idx="0">
                  <c:v>Contract Demand Charges  Fixed</c:v>
                </c:pt>
              </c:strCache>
            </c:strRef>
          </c:tx>
          <c:spPr>
            <a:solidFill>
              <a:srgbClr val="F4B183"/>
            </a:solidFill>
            <a:ln>
              <a:solidFill>
                <a:srgbClr val="F4B183"/>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Dashboard!$Y$12:$AS$12</c15:sqref>
                  </c15:fullRef>
                </c:ext>
              </c:extLst>
              <c:f>Dashboard!$Z$12:$AS$12</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7-BA07-445E-9C8F-B9C3711BB270}"/>
            </c:ext>
          </c:extLst>
        </c:ser>
        <c:ser>
          <c:idx val="8"/>
          <c:order val="8"/>
          <c:tx>
            <c:strRef>
              <c:f>Dashboard!$X$13</c:f>
              <c:strCache>
                <c:ptCount val="1"/>
                <c:pt idx="0">
                  <c:v>Customer Charges/ Fixed Charges</c:v>
                </c:pt>
              </c:strCache>
            </c:strRef>
          </c:tx>
          <c:spPr>
            <a:solidFill>
              <a:srgbClr val="FFD966"/>
            </a:solidFill>
            <a:ln>
              <a:solidFill>
                <a:srgbClr val="FFD966"/>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Dashboard!$Y$13:$AS$13</c15:sqref>
                  </c15:fullRef>
                </c:ext>
              </c:extLst>
              <c:f>Dashboard!$Z$13:$AS$13</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8-BA07-445E-9C8F-B9C3711BB270}"/>
            </c:ext>
          </c:extLst>
        </c:ser>
        <c:ser>
          <c:idx val="9"/>
          <c:order val="9"/>
          <c:tx>
            <c:strRef>
              <c:f>Dashboard!$X$14</c:f>
              <c:strCache>
                <c:ptCount val="1"/>
                <c:pt idx="0">
                  <c:v>Energy Savings</c:v>
                </c:pt>
              </c:strCache>
            </c:strRef>
          </c:tx>
          <c:spPr>
            <a:solidFill>
              <a:srgbClr val="548235"/>
            </a:solidFill>
            <a:ln>
              <a:solidFill>
                <a:srgbClr val="548235"/>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Dashboard!$Y$14:$AS$14</c15:sqref>
                  </c15:fullRef>
                </c:ext>
              </c:extLst>
              <c:f>Dashboard!$Z$14:$AS$14</c:f>
              <c:numCache>
                <c:formatCode>"$"#,##0;[Red]\("$"#,##0\);"-"</c:formatCode>
                <c:ptCount val="20"/>
                <c:pt idx="0">
                  <c:v>319.28756479459946</c:v>
                </c:pt>
                <c:pt idx="1">
                  <c:v>296.09913291968599</c:v>
                </c:pt>
                <c:pt idx="2">
                  <c:v>317.96640465024109</c:v>
                </c:pt>
                <c:pt idx="3">
                  <c:v>338.68187496330421</c:v>
                </c:pt>
                <c:pt idx="4">
                  <c:v>346.02476334262559</c:v>
                </c:pt>
                <c:pt idx="5">
                  <c:v>352.54044767348444</c:v>
                </c:pt>
                <c:pt idx="6">
                  <c:v>359.05613200434328</c:v>
                </c:pt>
                <c:pt idx="7">
                  <c:v>365.57181633520213</c:v>
                </c:pt>
                <c:pt idx="8">
                  <c:v>372.08750066606098</c:v>
                </c:pt>
                <c:pt idx="9">
                  <c:v>378.60318499691988</c:v>
                </c:pt>
                <c:pt idx="10">
                  <c:v>400.48421245641009</c:v>
                </c:pt>
                <c:pt idx="11">
                  <c:v>422.3652399159003</c:v>
                </c:pt>
                <c:pt idx="12">
                  <c:v>444.24626737539052</c:v>
                </c:pt>
                <c:pt idx="13">
                  <c:v>466.12729483488073</c:v>
                </c:pt>
                <c:pt idx="14">
                  <c:v>488.00832229437106</c:v>
                </c:pt>
                <c:pt idx="15">
                  <c:v>501.72759071026144</c:v>
                </c:pt>
                <c:pt idx="16">
                  <c:v>515.44685912615182</c:v>
                </c:pt>
                <c:pt idx="17">
                  <c:v>529.1661275420422</c:v>
                </c:pt>
                <c:pt idx="18">
                  <c:v>542.88539595793259</c:v>
                </c:pt>
                <c:pt idx="19">
                  <c:v>556.60466437382297</c:v>
                </c:pt>
              </c:numCache>
            </c:numRef>
          </c:val>
          <c:extLst>
            <c:ext xmlns:c16="http://schemas.microsoft.com/office/drawing/2014/chart" uri="{C3380CC4-5D6E-409C-BE32-E72D297353CC}">
              <c16:uniqueId val="{00000009-BA07-445E-9C8F-B9C3711BB270}"/>
            </c:ext>
          </c:extLst>
        </c:ser>
        <c:ser>
          <c:idx val="10"/>
          <c:order val="10"/>
          <c:tx>
            <c:strRef>
              <c:f>Dashboard!$X$15</c:f>
              <c:strCache>
                <c:ptCount val="1"/>
                <c:pt idx="0">
                  <c:v>Demand Savings </c:v>
                </c:pt>
              </c:strCache>
            </c:strRef>
          </c:tx>
          <c:spPr>
            <a:solidFill>
              <a:srgbClr val="A9D18E"/>
            </a:solidFill>
            <a:ln>
              <a:solidFill>
                <a:srgbClr val="A9D18E"/>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Dashboard!$Y$15:$AS$15</c15:sqref>
                  </c15:fullRef>
                </c:ext>
              </c:extLst>
              <c:f>Dashboard!$Z$15:$AS$15</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A-BA07-445E-9C8F-B9C3711BB270}"/>
            </c:ext>
          </c:extLst>
        </c:ser>
        <c:ser>
          <c:idx val="11"/>
          <c:order val="11"/>
          <c:tx>
            <c:strRef>
              <c:f>Dashboard!$X$16</c:f>
              <c:strCache>
                <c:ptCount val="1"/>
                <c:pt idx="0">
                  <c:v>Energy Generation - Export</c:v>
                </c:pt>
              </c:strCache>
            </c:strRef>
          </c:tx>
          <c:spPr>
            <a:solidFill>
              <a:srgbClr val="7030A0"/>
            </a:solidFill>
            <a:ln>
              <a:solidFill>
                <a:srgbClr val="7030A0"/>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Dashboard!$Y$16:$AS$16</c15:sqref>
                  </c15:fullRef>
                </c:ext>
              </c:extLst>
              <c:f>Dashboard!$Z$16:$AS$16</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B-BA07-445E-9C8F-B9C3711BB270}"/>
            </c:ext>
          </c:extLst>
        </c:ser>
        <c:ser>
          <c:idx val="12"/>
          <c:order val="12"/>
          <c:tx>
            <c:strRef>
              <c:f>Dashboard!$X$17</c:f>
              <c:strCache>
                <c:ptCount val="1"/>
                <c:pt idx="0">
                  <c:v>Generation Capacity</c:v>
                </c:pt>
              </c:strCache>
            </c:strRef>
          </c:tx>
          <c:spPr>
            <a:solidFill>
              <a:srgbClr val="9966CC"/>
            </a:solidFill>
            <a:ln>
              <a:solidFill>
                <a:srgbClr val="9966CC"/>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Dashboard!$Y$17:$AS$17</c15:sqref>
                  </c15:fullRef>
                </c:ext>
              </c:extLst>
              <c:f>Dashboard!$Z$17:$AS$17</c:f>
              <c:numCache>
                <c:formatCode>"$"#,##0;[Red]\("$"#,##0\);"-"</c:formatCode>
                <c:ptCount val="20"/>
                <c:pt idx="0">
                  <c:v>364.57937608314802</c:v>
                </c:pt>
                <c:pt idx="1">
                  <c:v>364.57937608314802</c:v>
                </c:pt>
                <c:pt idx="2">
                  <c:v>291.6635008665184</c:v>
                </c:pt>
                <c:pt idx="3">
                  <c:v>291.6635008665184</c:v>
                </c:pt>
                <c:pt idx="4">
                  <c:v>291.6635008665184</c:v>
                </c:pt>
                <c:pt idx="5">
                  <c:v>291.6635008665184</c:v>
                </c:pt>
                <c:pt idx="6">
                  <c:v>291.6635008665184</c:v>
                </c:pt>
                <c:pt idx="7">
                  <c:v>291.6635008665184</c:v>
                </c:pt>
                <c:pt idx="8">
                  <c:v>291.6635008665184</c:v>
                </c:pt>
                <c:pt idx="9">
                  <c:v>291.6635008665184</c:v>
                </c:pt>
                <c:pt idx="10">
                  <c:v>300.36661668606462</c:v>
                </c:pt>
                <c:pt idx="11">
                  <c:v>309.06973250561083</c:v>
                </c:pt>
                <c:pt idx="12">
                  <c:v>317.77284832515704</c:v>
                </c:pt>
                <c:pt idx="13">
                  <c:v>326.47596414470325</c:v>
                </c:pt>
                <c:pt idx="14">
                  <c:v>335.17907996424947</c:v>
                </c:pt>
                <c:pt idx="15">
                  <c:v>344.50751859096465</c:v>
                </c:pt>
                <c:pt idx="16">
                  <c:v>353.83595721767983</c:v>
                </c:pt>
                <c:pt idx="17">
                  <c:v>363.16439584439507</c:v>
                </c:pt>
                <c:pt idx="18">
                  <c:v>372.49283447111026</c:v>
                </c:pt>
                <c:pt idx="19">
                  <c:v>381.82127309782544</c:v>
                </c:pt>
              </c:numCache>
            </c:numRef>
          </c:val>
          <c:extLst>
            <c:ext xmlns:c16="http://schemas.microsoft.com/office/drawing/2014/chart" uri="{C3380CC4-5D6E-409C-BE32-E72D297353CC}">
              <c16:uniqueId val="{0000000C-BA07-445E-9C8F-B9C3711BB270}"/>
            </c:ext>
          </c:extLst>
        </c:ser>
        <c:ser>
          <c:idx val="13"/>
          <c:order val="13"/>
          <c:tx>
            <c:strRef>
              <c:f>Dashboard!$X$18</c:f>
              <c:strCache>
                <c:ptCount val="1"/>
                <c:pt idx="0">
                  <c:v>Transmission Capacity</c:v>
                </c:pt>
              </c:strCache>
            </c:strRef>
          </c:tx>
          <c:spPr>
            <a:solidFill>
              <a:srgbClr val="B19CD9"/>
            </a:solidFill>
            <a:ln>
              <a:solidFill>
                <a:srgbClr val="B19CD9"/>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Dashboard!$Y$18:$AS$18</c15:sqref>
                  </c15:fullRef>
                </c:ext>
              </c:extLst>
              <c:f>Dashboard!$Z$18:$AS$18</c:f>
              <c:numCache>
                <c:formatCode>"$"#,##0;[Red]\("$"#,##0\);"-"</c:formatCode>
                <c:ptCount val="20"/>
                <c:pt idx="0">
                  <c:v>122.16203886869096</c:v>
                </c:pt>
                <c:pt idx="1">
                  <c:v>122.16203886869096</c:v>
                </c:pt>
                <c:pt idx="2">
                  <c:v>97.729631094952751</c:v>
                </c:pt>
                <c:pt idx="3">
                  <c:v>97.729631094952751</c:v>
                </c:pt>
                <c:pt idx="4">
                  <c:v>97.729631094952751</c:v>
                </c:pt>
                <c:pt idx="5">
                  <c:v>97.729631094952751</c:v>
                </c:pt>
                <c:pt idx="6">
                  <c:v>97.729631094952751</c:v>
                </c:pt>
                <c:pt idx="7">
                  <c:v>97.729631094952751</c:v>
                </c:pt>
                <c:pt idx="8">
                  <c:v>97.729631094952751</c:v>
                </c:pt>
                <c:pt idx="9">
                  <c:v>97.729631094952751</c:v>
                </c:pt>
                <c:pt idx="10">
                  <c:v>99.247468734139431</c:v>
                </c:pt>
                <c:pt idx="11">
                  <c:v>100.7653063733261</c:v>
                </c:pt>
                <c:pt idx="12">
                  <c:v>102.28314401251278</c:v>
                </c:pt>
                <c:pt idx="13">
                  <c:v>103.80098165169944</c:v>
                </c:pt>
                <c:pt idx="14">
                  <c:v>105.31881929088613</c:v>
                </c:pt>
                <c:pt idx="15">
                  <c:v>108.24996923645531</c:v>
                </c:pt>
                <c:pt idx="16">
                  <c:v>111.1811191820245</c:v>
                </c:pt>
                <c:pt idx="17">
                  <c:v>114.11226912759369</c:v>
                </c:pt>
                <c:pt idx="18">
                  <c:v>117.04341907316287</c:v>
                </c:pt>
                <c:pt idx="19">
                  <c:v>119.97456901873205</c:v>
                </c:pt>
              </c:numCache>
            </c:numRef>
          </c:val>
          <c:extLst>
            <c:ext xmlns:c16="http://schemas.microsoft.com/office/drawing/2014/chart" uri="{C3380CC4-5D6E-409C-BE32-E72D297353CC}">
              <c16:uniqueId val="{0000000D-BA07-445E-9C8F-B9C3711BB270}"/>
            </c:ext>
          </c:extLst>
        </c:ser>
        <c:ser>
          <c:idx val="14"/>
          <c:order val="14"/>
          <c:tx>
            <c:strRef>
              <c:f>Dashboard!$X$19</c:f>
              <c:strCache>
                <c:ptCount val="1"/>
                <c:pt idx="0">
                  <c:v>Distribution Capacity</c:v>
                </c:pt>
              </c:strCache>
            </c:strRef>
          </c:tx>
          <c:spPr>
            <a:solidFill>
              <a:srgbClr val="D6BCEA"/>
            </a:solidFill>
            <a:ln>
              <a:solidFill>
                <a:srgbClr val="D6BCEA"/>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Dashboard!$Y$19:$AS$19</c15:sqref>
                  </c15:fullRef>
                </c:ext>
              </c:extLst>
              <c:f>Dashboard!$Z$19:$AS$19</c:f>
              <c:numCache>
                <c:formatCode>"$"#,##0;[Red]\("$"#,##0\);"-"</c:formatCode>
                <c:ptCount val="20"/>
                <c:pt idx="0">
                  <c:v>30.114704533615988</c:v>
                </c:pt>
                <c:pt idx="1">
                  <c:v>30.114704533615992</c:v>
                </c:pt>
                <c:pt idx="2">
                  <c:v>23.680641380700092</c:v>
                </c:pt>
                <c:pt idx="3">
                  <c:v>24.33843697460842</c:v>
                </c:pt>
                <c:pt idx="4">
                  <c:v>22.714523474391903</c:v>
                </c:pt>
                <c:pt idx="5">
                  <c:v>22.924191945501249</c:v>
                </c:pt>
                <c:pt idx="6">
                  <c:v>23.133860416610595</c:v>
                </c:pt>
                <c:pt idx="7">
                  <c:v>23.343528887719938</c:v>
                </c:pt>
                <c:pt idx="8">
                  <c:v>23.553197358829284</c:v>
                </c:pt>
                <c:pt idx="9">
                  <c:v>23.76286582993863</c:v>
                </c:pt>
                <c:pt idx="10">
                  <c:v>24.419911914265136</c:v>
                </c:pt>
                <c:pt idx="11">
                  <c:v>25.076957998591642</c:v>
                </c:pt>
                <c:pt idx="12">
                  <c:v>25.734004082918148</c:v>
                </c:pt>
                <c:pt idx="13">
                  <c:v>26.391050167244654</c:v>
                </c:pt>
                <c:pt idx="14">
                  <c:v>27.04809625157116</c:v>
                </c:pt>
                <c:pt idx="15">
                  <c:v>27.464515035499282</c:v>
                </c:pt>
                <c:pt idx="16">
                  <c:v>27.880933819427408</c:v>
                </c:pt>
                <c:pt idx="17">
                  <c:v>28.297352603355531</c:v>
                </c:pt>
                <c:pt idx="18">
                  <c:v>28.713771387283657</c:v>
                </c:pt>
                <c:pt idx="19">
                  <c:v>29.13019017121178</c:v>
                </c:pt>
              </c:numCache>
            </c:numRef>
          </c:val>
          <c:extLst>
            <c:ext xmlns:c16="http://schemas.microsoft.com/office/drawing/2014/chart" uri="{C3380CC4-5D6E-409C-BE32-E72D297353CC}">
              <c16:uniqueId val="{0000000E-BA07-445E-9C8F-B9C3711BB270}"/>
            </c:ext>
          </c:extLst>
        </c:ser>
        <c:ser>
          <c:idx val="15"/>
          <c:order val="15"/>
          <c:tx>
            <c:strRef>
              <c:f>Dashboard!$X$20</c:f>
              <c:strCache>
                <c:ptCount val="1"/>
                <c:pt idx="0">
                  <c:v>GHG Impacts</c:v>
                </c:pt>
              </c:strCache>
            </c:strRef>
          </c:tx>
          <c:spPr>
            <a:solidFill>
              <a:srgbClr val="2E8B8B"/>
            </a:solidFill>
            <a:ln>
              <a:solidFill>
                <a:srgbClr val="2E8B8B"/>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Dashboard!$Y$20:$AS$20</c15:sqref>
                  </c15:fullRef>
                </c:ext>
              </c:extLst>
              <c:f>Dashboard!$Z$20:$AS$20</c:f>
              <c:numCache>
                <c:formatCode>"$"#,##0;[Red]\("$"#,##0\);"-"</c:formatCode>
                <c:ptCount val="20"/>
                <c:pt idx="0">
                  <c:v>143.47714610799684</c:v>
                </c:pt>
                <c:pt idx="1">
                  <c:v>117.46765740705874</c:v>
                </c:pt>
                <c:pt idx="2">
                  <c:v>63.005407372540716</c:v>
                </c:pt>
                <c:pt idx="3">
                  <c:v>82.481235322387548</c:v>
                </c:pt>
                <c:pt idx="4">
                  <c:v>112.59345223469656</c:v>
                </c:pt>
                <c:pt idx="5">
                  <c:v>138.57086877693831</c:v>
                </c:pt>
                <c:pt idx="6">
                  <c:v>164.54828531918008</c:v>
                </c:pt>
                <c:pt idx="7">
                  <c:v>190.52570186142185</c:v>
                </c:pt>
                <c:pt idx="8">
                  <c:v>216.50311840366359</c:v>
                </c:pt>
                <c:pt idx="9">
                  <c:v>242.48053494590533</c:v>
                </c:pt>
                <c:pt idx="10">
                  <c:v>261.7236545004256</c:v>
                </c:pt>
                <c:pt idx="11">
                  <c:v>280.96677405494586</c:v>
                </c:pt>
                <c:pt idx="12">
                  <c:v>300.20989360946612</c:v>
                </c:pt>
                <c:pt idx="13">
                  <c:v>319.45301316398638</c:v>
                </c:pt>
                <c:pt idx="14">
                  <c:v>338.69613271850665</c:v>
                </c:pt>
                <c:pt idx="15">
                  <c:v>359.7033237513383</c:v>
                </c:pt>
                <c:pt idx="16">
                  <c:v>380.71051478416996</c:v>
                </c:pt>
                <c:pt idx="17">
                  <c:v>401.71770581700162</c:v>
                </c:pt>
                <c:pt idx="18">
                  <c:v>422.72489684983321</c:v>
                </c:pt>
                <c:pt idx="19">
                  <c:v>443.73208788266487</c:v>
                </c:pt>
              </c:numCache>
            </c:numRef>
          </c:val>
          <c:extLst>
            <c:ext xmlns:c16="http://schemas.microsoft.com/office/drawing/2014/chart" uri="{C3380CC4-5D6E-409C-BE32-E72D297353CC}">
              <c16:uniqueId val="{0000000F-BA07-445E-9C8F-B9C3711BB270}"/>
            </c:ext>
          </c:extLst>
        </c:ser>
        <c:ser>
          <c:idx val="16"/>
          <c:order val="16"/>
          <c:tx>
            <c:strRef>
              <c:f>Dashboard!$X$21</c:f>
              <c:strCache>
                <c:ptCount val="1"/>
                <c:pt idx="0">
                  <c:v>Market Price Effects - Wholesale Energy</c:v>
                </c:pt>
              </c:strCache>
            </c:strRef>
          </c:tx>
          <c:spPr>
            <a:solidFill>
              <a:srgbClr val="5BAFAF"/>
            </a:solidFill>
            <a:ln>
              <a:solidFill>
                <a:srgbClr val="5BAFAF"/>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Dashboard!$Y$21:$AS$21</c15:sqref>
                  </c15:fullRef>
                </c:ext>
              </c:extLst>
              <c:f>Dashboard!$Z$21:$AS$21</c:f>
              <c:numCache>
                <c:formatCode>"$"#,##0;[Red]\("$"#,##0\);"-"</c:formatCode>
                <c:ptCount val="20"/>
                <c:pt idx="0">
                  <c:v>23.035248702346333</c:v>
                </c:pt>
                <c:pt idx="1">
                  <c:v>39.423424851736492</c:v>
                </c:pt>
                <c:pt idx="2">
                  <c:v>54.352395858219772</c:v>
                </c:pt>
                <c:pt idx="3">
                  <c:v>55.05125615688199</c:v>
                </c:pt>
                <c:pt idx="4">
                  <c:v>70.339651868814656</c:v>
                </c:pt>
                <c:pt idx="5">
                  <c:v>63.465537245320895</c:v>
                </c:pt>
                <c:pt idx="6">
                  <c:v>56.591422621827128</c:v>
                </c:pt>
                <c:pt idx="7">
                  <c:v>49.717307998333368</c:v>
                </c:pt>
                <c:pt idx="8">
                  <c:v>42.843193374839601</c:v>
                </c:pt>
                <c:pt idx="9">
                  <c:v>35.96907875134584</c:v>
                </c:pt>
                <c:pt idx="10">
                  <c:v>42.163215486230513</c:v>
                </c:pt>
                <c:pt idx="11">
                  <c:v>48.357352221115178</c:v>
                </c:pt>
                <c:pt idx="12">
                  <c:v>54.551488955999851</c:v>
                </c:pt>
                <c:pt idx="13">
                  <c:v>60.745625690884523</c:v>
                </c:pt>
                <c:pt idx="14">
                  <c:v>66.939762425769189</c:v>
                </c:pt>
                <c:pt idx="15">
                  <c:v>70.117159035893849</c:v>
                </c:pt>
                <c:pt idx="16">
                  <c:v>73.294555646018509</c:v>
                </c:pt>
                <c:pt idx="17">
                  <c:v>76.471952256143169</c:v>
                </c:pt>
                <c:pt idx="18">
                  <c:v>79.649348866267829</c:v>
                </c:pt>
                <c:pt idx="19">
                  <c:v>82.826745476392489</c:v>
                </c:pt>
              </c:numCache>
            </c:numRef>
          </c:val>
          <c:extLst>
            <c:ext xmlns:c16="http://schemas.microsoft.com/office/drawing/2014/chart" uri="{C3380CC4-5D6E-409C-BE32-E72D297353CC}">
              <c16:uniqueId val="{00000010-BA07-445E-9C8F-B9C3711BB270}"/>
            </c:ext>
          </c:extLst>
        </c:ser>
        <c:ser>
          <c:idx val="17"/>
          <c:order val="17"/>
          <c:tx>
            <c:strRef>
              <c:f>Dashboard!$X$22</c:f>
              <c:strCache>
                <c:ptCount val="1"/>
                <c:pt idx="0">
                  <c:v>Market Price Effects - Wholesale Capacity</c:v>
                </c:pt>
              </c:strCache>
            </c:strRef>
          </c:tx>
          <c:spPr>
            <a:solidFill>
              <a:srgbClr val="8FCACA"/>
            </a:solidFill>
            <a:ln>
              <a:solidFill>
                <a:srgbClr val="8FCACA"/>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Dashboard!$Y$22:$AS$22</c15:sqref>
                  </c15:fullRef>
                </c:ext>
              </c:extLst>
              <c:f>Dashboard!$Z$22:$AS$22</c:f>
              <c:numCache>
                <c:formatCode>"$"#,##0;[Red]\("$"#,##0\);"-"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11-BA07-445E-9C8F-B9C3711BB270}"/>
            </c:ext>
          </c:extLst>
        </c:ser>
        <c:ser>
          <c:idx val="18"/>
          <c:order val="18"/>
          <c:tx>
            <c:strRef>
              <c:f>Dashboard!$X$23</c:f>
              <c:strCache>
                <c:ptCount val="1"/>
                <c:pt idx="0">
                  <c:v>Avoided Cost of Participant Backup Generator</c:v>
                </c:pt>
              </c:strCache>
            </c:strRef>
          </c:tx>
          <c:spPr>
            <a:solidFill>
              <a:srgbClr val="404040"/>
            </a:solidFill>
            <a:ln>
              <a:solidFill>
                <a:srgbClr val="404040"/>
              </a:solidFill>
              <a:prstDash val="solid"/>
            </a:ln>
            <a:effectLst/>
          </c:spPr>
          <c:invertIfNegative val="0"/>
          <c:cat>
            <c:numRef>
              <c:extLst>
                <c:ext xmlns:c15="http://schemas.microsoft.com/office/drawing/2012/chart" uri="{02D57815-91ED-43cb-92C2-25804820EDAC}">
                  <c15:fullRef>
                    <c15:sqref>Dashboard!$Y$4:$AS$4</c15:sqref>
                  </c15:fullRef>
                </c:ext>
              </c:extLst>
              <c:f>Dashboard!$Z$4:$AS$4</c:f>
              <c:numCache>
                <c:formatCode>General</c:formatCode>
                <c:ptCount val="20"/>
                <c:pt idx="0">
                  <c:v>2028</c:v>
                </c:pt>
                <c:pt idx="1">
                  <c:v>2029</c:v>
                </c:pt>
                <c:pt idx="2">
                  <c:v>2030</c:v>
                </c:pt>
                <c:pt idx="3">
                  <c:v>2031</c:v>
                </c:pt>
                <c:pt idx="4">
                  <c:v>2032</c:v>
                </c:pt>
                <c:pt idx="5">
                  <c:v>2033</c:v>
                </c:pt>
                <c:pt idx="6">
                  <c:v>2034</c:v>
                </c:pt>
                <c:pt idx="7">
                  <c:v>2035</c:v>
                </c:pt>
                <c:pt idx="8">
                  <c:v>2036</c:v>
                </c:pt>
                <c:pt idx="9">
                  <c:v>2037</c:v>
                </c:pt>
                <c:pt idx="10">
                  <c:v>2038</c:v>
                </c:pt>
                <c:pt idx="11">
                  <c:v>2039</c:v>
                </c:pt>
                <c:pt idx="12">
                  <c:v>2040</c:v>
                </c:pt>
                <c:pt idx="13">
                  <c:v>2041</c:v>
                </c:pt>
                <c:pt idx="14">
                  <c:v>2042</c:v>
                </c:pt>
                <c:pt idx="15">
                  <c:v>2043</c:v>
                </c:pt>
                <c:pt idx="16">
                  <c:v>2044</c:v>
                </c:pt>
                <c:pt idx="17">
                  <c:v>2045</c:v>
                </c:pt>
                <c:pt idx="18">
                  <c:v>2046</c:v>
                </c:pt>
                <c:pt idx="19">
                  <c:v>2047</c:v>
                </c:pt>
              </c:numCache>
            </c:numRef>
          </c:cat>
          <c:val>
            <c:numRef>
              <c:extLst>
                <c:ext xmlns:c15="http://schemas.microsoft.com/office/drawing/2012/chart" uri="{02D57815-91ED-43cb-92C2-25804820EDAC}">
                  <c15:fullRef>
                    <c15:sqref>Dashboard!$Y$23:$AS$23</c15:sqref>
                  </c15:fullRef>
                </c:ext>
              </c:extLst>
              <c:f>Dashboard!$Z$23:$AS$23</c:f>
              <c:numCache>
                <c:formatCode>"$"#,##0;[Red]\("$"#,##0\);"-"</c:formatCode>
                <c:ptCount val="20"/>
                <c:pt idx="0">
                  <c:v>2000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12-BA07-445E-9C8F-B9C3711BB270}"/>
            </c:ext>
          </c:extLst>
        </c:ser>
        <c:dLbls>
          <c:showLegendKey val="0"/>
          <c:showVal val="0"/>
          <c:showCatName val="0"/>
          <c:showSerName val="0"/>
          <c:showPercent val="0"/>
          <c:showBubbleSize val="0"/>
        </c:dLbls>
        <c:gapWidth val="150"/>
        <c:overlap val="100"/>
        <c:axId val="1396015248"/>
        <c:axId val="1396013328"/>
      </c:barChart>
      <c:catAx>
        <c:axId val="1396015248"/>
        <c:scaling>
          <c:orientation val="minMax"/>
        </c:scaling>
        <c:delete val="0"/>
        <c:axPos val="b"/>
        <c:title>
          <c:tx>
            <c:rich>
              <a:bodyPr rot="0" spcFirstLastPara="1" vertOverflow="ellipsis" vert="horz" wrap="square" anchor="ctr" anchorCtr="1"/>
              <a:lstStyle/>
              <a:p>
                <a:pPr>
                  <a:defRPr sz="1400" b="1" i="0" u="none" strike="noStrike" kern="1200" baseline="0">
                    <a:solidFill>
                      <a:sysClr val="windowText" lastClr="000000"/>
                    </a:solidFill>
                    <a:latin typeface="Aptos" panose="020B0004020202020204" pitchFamily="34" charset="0"/>
                    <a:ea typeface="+mn-ea"/>
                    <a:cs typeface="+mn-cs"/>
                  </a:defRPr>
                </a:pPr>
                <a:r>
                  <a:rPr lang="en-US" sz="1400" b="1">
                    <a:latin typeface="Aptos" panose="020B0004020202020204" pitchFamily="34" charset="0"/>
                  </a:rPr>
                  <a:t>Year</a:t>
                </a:r>
              </a:p>
            </c:rich>
          </c:tx>
          <c:overlay val="0"/>
          <c:spPr>
            <a:noFill/>
            <a:ln>
              <a:noFill/>
            </a:ln>
            <a:effectLst/>
          </c:spPr>
          <c:txPr>
            <a:bodyPr rot="0" spcFirstLastPara="1" vertOverflow="ellipsis" vert="horz" wrap="square" anchor="ctr" anchorCtr="1"/>
            <a:lstStyle/>
            <a:p>
              <a:pPr>
                <a:defRPr sz="1400" b="1" i="0" u="none" strike="noStrike" kern="1200" baseline="0">
                  <a:solidFill>
                    <a:sysClr val="windowText" lastClr="000000"/>
                  </a:solidFill>
                  <a:latin typeface="Aptos" panose="020B0004020202020204" pitchFamily="34" charset="0"/>
                  <a:ea typeface="+mn-ea"/>
                  <a:cs typeface="+mn-cs"/>
                </a:defRPr>
              </a:pPr>
              <a:endParaRPr lang="en-US"/>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050" b="0" i="0" u="none" strike="noStrike" kern="1200" baseline="0">
                <a:solidFill>
                  <a:sysClr val="windowText" lastClr="000000"/>
                </a:solidFill>
                <a:latin typeface="Aptos" panose="020B0004020202020204" pitchFamily="34" charset="0"/>
                <a:ea typeface="+mn-ea"/>
                <a:cs typeface="+mn-cs"/>
              </a:defRPr>
            </a:pPr>
            <a:endParaRPr lang="en-US"/>
          </a:p>
        </c:txPr>
        <c:crossAx val="1396013328"/>
        <c:crosses val="autoZero"/>
        <c:auto val="1"/>
        <c:lblAlgn val="ctr"/>
        <c:lblOffset val="0"/>
        <c:tickLblSkip val="1"/>
        <c:noMultiLvlLbl val="0"/>
      </c:catAx>
      <c:valAx>
        <c:axId val="1396013328"/>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ptos" panose="020B0004020202020204" pitchFamily="34" charset="0"/>
                <a:ea typeface="+mn-ea"/>
                <a:cs typeface="+mn-cs"/>
              </a:defRPr>
            </a:pPr>
            <a:endParaRPr lang="en-US"/>
          </a:p>
        </c:txPr>
        <c:crossAx val="1396015248"/>
        <c:crosses val="autoZero"/>
        <c:crossBetween val="between"/>
      </c:valAx>
      <c:spPr>
        <a:noFill/>
        <a:ln>
          <a:noFill/>
        </a:ln>
        <a:effectLst/>
      </c:spPr>
    </c:plotArea>
    <c:legend>
      <c:legendPos val="r"/>
      <c:layout>
        <c:manualLayout>
          <c:xMode val="edge"/>
          <c:yMode val="edge"/>
          <c:x val="0.8068069512986652"/>
          <c:y val="3.7112584115199486E-2"/>
          <c:w val="0.18766021704528929"/>
          <c:h val="0.96288741588480053"/>
        </c:manualLayout>
      </c:layout>
      <c:overlay val="0"/>
      <c:spPr>
        <a:noFill/>
        <a:ln>
          <a:noFill/>
        </a:ln>
        <a:effectLst/>
      </c:spPr>
      <c:txPr>
        <a:bodyPr rot="0" spcFirstLastPara="1" vertOverflow="ellipsis" vert="horz" wrap="square" anchor="ctr" anchorCtr="1"/>
        <a:lstStyle/>
        <a:p>
          <a:pPr>
            <a:defRPr sz="1000" b="0" i="0" u="none" strike="noStrike" kern="1200" baseline="0">
              <a:solidFill>
                <a:sysClr val="windowText" lastClr="000000"/>
              </a:solidFill>
              <a:latin typeface="Aptos" panose="020B00040202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28575" cap="flat" cmpd="sng" algn="ctr">
      <a:solidFill>
        <a:sysClr val="windowText" lastClr="000000"/>
      </a:solid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spc="0" baseline="0">
                <a:solidFill>
                  <a:sysClr val="windowText" lastClr="000000"/>
                </a:solidFill>
                <a:latin typeface="Aptos" panose="020B0004020202020204" pitchFamily="34" charset="0"/>
                <a:ea typeface="+mn-ea"/>
                <a:cs typeface="+mn-cs"/>
              </a:defRPr>
            </a:pPr>
            <a:r>
              <a:rPr lang="en-US" sz="2000">
                <a:latin typeface="Aptos" panose="020B0004020202020204" pitchFamily="34" charset="0"/>
              </a:rPr>
              <a:t>Total Costs &amp; Benefits (NPV)</a:t>
            </a:r>
          </a:p>
        </c:rich>
      </c:tx>
      <c:overlay val="0"/>
      <c:spPr>
        <a:noFill/>
        <a:ln>
          <a:noFill/>
        </a:ln>
        <a:effectLst/>
      </c:spPr>
      <c:txPr>
        <a:bodyPr rot="0" spcFirstLastPara="1" vertOverflow="ellipsis" vert="horz" wrap="square" anchor="ctr" anchorCtr="1"/>
        <a:lstStyle/>
        <a:p>
          <a:pPr>
            <a:defRPr sz="2000" b="0" i="0" u="none" strike="noStrike" kern="1200" spc="0" baseline="0">
              <a:solidFill>
                <a:sysClr val="windowText" lastClr="000000"/>
              </a:solidFill>
              <a:latin typeface="Aptos" panose="020B0004020202020204" pitchFamily="34" charset="0"/>
              <a:ea typeface="+mn-ea"/>
              <a:cs typeface="+mn-cs"/>
            </a:defRPr>
          </a:pPr>
          <a:endParaRPr lang="en-US"/>
        </a:p>
      </c:txPr>
    </c:title>
    <c:autoTitleDeleted val="0"/>
    <c:plotArea>
      <c:layout>
        <c:manualLayout>
          <c:layoutTarget val="inner"/>
          <c:xMode val="edge"/>
          <c:yMode val="edge"/>
          <c:x val="9.2222081208282555E-2"/>
          <c:y val="9.3202365261383383E-2"/>
          <c:w val="0.67096955064531949"/>
          <c:h val="0.81551622615264907"/>
        </c:manualLayout>
      </c:layout>
      <c:barChart>
        <c:barDir val="col"/>
        <c:grouping val="stacked"/>
        <c:varyColors val="0"/>
        <c:ser>
          <c:idx val="0"/>
          <c:order val="0"/>
          <c:tx>
            <c:strRef>
              <c:f>Dashboard!$X$27</c:f>
              <c:strCache>
                <c:ptCount val="1"/>
                <c:pt idx="0">
                  <c:v>Equity Investment</c:v>
                </c:pt>
              </c:strCache>
            </c:strRef>
          </c:tx>
          <c:spPr>
            <a:solidFill>
              <a:srgbClr val="595959"/>
            </a:solidFill>
            <a:ln>
              <a:solidFill>
                <a:srgbClr val="595959"/>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Dashboard!$Y$27:$AA$27</c:f>
              <c:numCache>
                <c:formatCode>"$"#,##0_);[Red]\("$"#,##0\)</c:formatCode>
                <c:ptCount val="3"/>
                <c:pt idx="0" formatCode="&quot;$&quot;#,##0.00_);[Red]\(&quot;$&quot;#,##0.00\)">
                  <c:v>12480.888888888891</c:v>
                </c:pt>
                <c:pt idx="1">
                  <c:v>0</c:v>
                </c:pt>
                <c:pt idx="2" formatCode="&quot;$&quot;#,##0">
                  <c:v>0</c:v>
                </c:pt>
              </c:numCache>
            </c:numRef>
          </c:val>
          <c:extLst>
            <c:ext xmlns:c16="http://schemas.microsoft.com/office/drawing/2014/chart" uri="{C3380CC4-5D6E-409C-BE32-E72D297353CC}">
              <c16:uniqueId val="{00000000-5331-4A81-BDC9-B9544710561A}"/>
            </c:ext>
          </c:extLst>
        </c:ser>
        <c:ser>
          <c:idx val="1"/>
          <c:order val="1"/>
          <c:tx>
            <c:strRef>
              <c:f>Dashboard!$X$28</c:f>
              <c:strCache>
                <c:ptCount val="1"/>
                <c:pt idx="0">
                  <c:v>O&amp;M Expenses (Fixed + Variable)</c:v>
                </c:pt>
              </c:strCache>
            </c:strRef>
          </c:tx>
          <c:spPr>
            <a:solidFill>
              <a:srgbClr val="7F7F7F"/>
            </a:solidFill>
            <a:ln>
              <a:solidFill>
                <a:srgbClr val="7F7F7F"/>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Dashboard!$Y$28:$AA$28</c:f>
              <c:numCache>
                <c:formatCode>"$"#,##0_);[Red]\("$"#,##0\)</c:formatCode>
                <c:ptCount val="3"/>
                <c:pt idx="0" formatCode="&quot;$&quot;#,##0.00_);[Red]\(&quot;$&quot;#,##0.00\)">
                  <c:v>2708.3726631330001</c:v>
                </c:pt>
                <c:pt idx="1">
                  <c:v>0</c:v>
                </c:pt>
                <c:pt idx="2" formatCode="&quot;$&quot;#,##0">
                  <c:v>0</c:v>
                </c:pt>
              </c:numCache>
            </c:numRef>
          </c:val>
          <c:extLst>
            <c:ext xmlns:c16="http://schemas.microsoft.com/office/drawing/2014/chart" uri="{C3380CC4-5D6E-409C-BE32-E72D297353CC}">
              <c16:uniqueId val="{00000001-5331-4A81-BDC9-B9544710561A}"/>
            </c:ext>
          </c:extLst>
        </c:ser>
        <c:ser>
          <c:idx val="2"/>
          <c:order val="2"/>
          <c:tx>
            <c:strRef>
              <c:f>Dashboard!$X$29</c:f>
              <c:strCache>
                <c:ptCount val="1"/>
                <c:pt idx="0">
                  <c:v>Debt Service</c:v>
                </c:pt>
              </c:strCache>
            </c:strRef>
          </c:tx>
          <c:spPr>
            <a:solidFill>
              <a:srgbClr val="A6A6A6"/>
            </a:solidFill>
            <a:ln>
              <a:solidFill>
                <a:srgbClr val="A6A6A6"/>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Dashboard!$Y$29:$AA$29</c:f>
              <c:numCache>
                <c:formatCode>"$"#,##0_);[Red]\("$"#,##0\)</c:formatCode>
                <c:ptCount val="3"/>
                <c:pt idx="0" formatCode="&quot;$&quot;#,##0.00_);[Red]\(&quot;$&quot;#,##0.00\)">
                  <c:v>0</c:v>
                </c:pt>
                <c:pt idx="1">
                  <c:v>0</c:v>
                </c:pt>
                <c:pt idx="2" formatCode="&quot;$&quot;#,##0">
                  <c:v>0</c:v>
                </c:pt>
              </c:numCache>
            </c:numRef>
          </c:val>
          <c:extLst>
            <c:ext xmlns:c16="http://schemas.microsoft.com/office/drawing/2014/chart" uri="{C3380CC4-5D6E-409C-BE32-E72D297353CC}">
              <c16:uniqueId val="{00000002-5331-4A81-BDC9-B9544710561A}"/>
            </c:ext>
          </c:extLst>
        </c:ser>
        <c:ser>
          <c:idx val="3"/>
          <c:order val="3"/>
          <c:tx>
            <c:strRef>
              <c:f>Dashboard!$X$30</c:f>
              <c:strCache>
                <c:ptCount val="1"/>
                <c:pt idx="0">
                  <c:v>Increase/(Decrease) in Maintenance Reserve and Change in Working Capital</c:v>
                </c:pt>
              </c:strCache>
            </c:strRef>
          </c:tx>
          <c:spPr>
            <a:solidFill>
              <a:srgbClr val="404040"/>
            </a:solidFill>
            <a:ln>
              <a:solidFill>
                <a:srgbClr val="404040"/>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Dashboard!$Y$30:$AA$30</c:f>
              <c:numCache>
                <c:formatCode>"$"#,##0_);[Red]\("$"#,##0\)</c:formatCode>
                <c:ptCount val="3"/>
                <c:pt idx="0" formatCode="&quot;$&quot;#,##0.00_);[Red]\(&quot;$&quot;#,##0.00\)">
                  <c:v>57.972357835256858</c:v>
                </c:pt>
                <c:pt idx="1">
                  <c:v>0</c:v>
                </c:pt>
                <c:pt idx="2" formatCode="&quot;$&quot;#,##0">
                  <c:v>0</c:v>
                </c:pt>
              </c:numCache>
            </c:numRef>
          </c:val>
          <c:extLst>
            <c:ext xmlns:c16="http://schemas.microsoft.com/office/drawing/2014/chart" uri="{C3380CC4-5D6E-409C-BE32-E72D297353CC}">
              <c16:uniqueId val="{00000003-5331-4A81-BDC9-B9544710561A}"/>
            </c:ext>
          </c:extLst>
        </c:ser>
        <c:ser>
          <c:idx val="4"/>
          <c:order val="4"/>
          <c:tx>
            <c:strRef>
              <c:f>Dashboard!$X$31</c:f>
              <c:strCache>
                <c:ptCount val="1"/>
                <c:pt idx="0">
                  <c:v>Taxes Paid</c:v>
                </c:pt>
              </c:strCache>
            </c:strRef>
          </c:tx>
          <c:spPr>
            <a:solidFill>
              <a:srgbClr val="262626"/>
            </a:solidFill>
            <a:ln>
              <a:solidFill>
                <a:srgbClr val="262626"/>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Dashboard!$Y$31:$AA$31</c:f>
              <c:numCache>
                <c:formatCode>"$"#,##0_);[Red]\("$"#,##0\)</c:formatCode>
                <c:ptCount val="3"/>
                <c:pt idx="0" formatCode="&quot;$&quot;#,##0.00_);[Red]\(&quot;$&quot;#,##0.00\)">
                  <c:v>317.00041421908753</c:v>
                </c:pt>
                <c:pt idx="1">
                  <c:v>0</c:v>
                </c:pt>
                <c:pt idx="2" formatCode="&quot;$&quot;#,##0">
                  <c:v>0</c:v>
                </c:pt>
              </c:numCache>
            </c:numRef>
          </c:val>
          <c:extLst>
            <c:ext xmlns:c16="http://schemas.microsoft.com/office/drawing/2014/chart" uri="{C3380CC4-5D6E-409C-BE32-E72D297353CC}">
              <c16:uniqueId val="{00000004-5331-4A81-BDC9-B9544710561A}"/>
            </c:ext>
          </c:extLst>
        </c:ser>
        <c:ser>
          <c:idx val="6"/>
          <c:order val="5"/>
          <c:tx>
            <c:strRef>
              <c:f>Dashboard!$X$32</c:f>
              <c:strCache>
                <c:ptCount val="1"/>
                <c:pt idx="0">
                  <c:v>Capacity - PJM Market</c:v>
                </c:pt>
              </c:strCache>
            </c:strRef>
          </c:tx>
          <c:spPr>
            <a:solidFill>
              <a:srgbClr val="1F4E78"/>
            </a:solidFill>
            <a:ln>
              <a:solidFill>
                <a:srgbClr val="1F4E78"/>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Dashboard!$Y$32:$AA$32</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6-5331-4A81-BDC9-B9544710561A}"/>
            </c:ext>
          </c:extLst>
        </c:ser>
        <c:ser>
          <c:idx val="7"/>
          <c:order val="6"/>
          <c:tx>
            <c:strRef>
              <c:f>Dashboard!$X$33</c:f>
              <c:strCache>
                <c:ptCount val="1"/>
                <c:pt idx="0">
                  <c:v>Energy Arbitrage - PJM Market</c:v>
                </c:pt>
              </c:strCache>
            </c:strRef>
          </c:tx>
          <c:spPr>
            <a:solidFill>
              <a:srgbClr val="2E75B6"/>
            </a:solidFill>
            <a:ln>
              <a:solidFill>
                <a:srgbClr val="2E75B6"/>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Dashboard!$Y$33:$AA$33</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7-5331-4A81-BDC9-B9544710561A}"/>
            </c:ext>
          </c:extLst>
        </c:ser>
        <c:ser>
          <c:idx val="8"/>
          <c:order val="7"/>
          <c:tx>
            <c:strRef>
              <c:f>Dashboard!$X$34</c:f>
              <c:strCache>
                <c:ptCount val="1"/>
                <c:pt idx="0">
                  <c:v>Spin- PJM Market</c:v>
                </c:pt>
              </c:strCache>
            </c:strRef>
          </c:tx>
          <c:spPr>
            <a:solidFill>
              <a:srgbClr val="5B9BD5"/>
            </a:solidFill>
            <a:ln>
              <a:solidFill>
                <a:srgbClr val="5B9BD5"/>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Dashboard!$Y$34:$AA$34</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8-5331-4A81-BDC9-B9544710561A}"/>
            </c:ext>
          </c:extLst>
        </c:ser>
        <c:ser>
          <c:idx val="9"/>
          <c:order val="8"/>
          <c:tx>
            <c:strRef>
              <c:f>Dashboard!$X$35</c:f>
              <c:strCache>
                <c:ptCount val="1"/>
                <c:pt idx="0">
                  <c:v>Non-Spin - PJM Market</c:v>
                </c:pt>
              </c:strCache>
            </c:strRef>
          </c:tx>
          <c:spPr>
            <a:solidFill>
              <a:srgbClr val="9DC3E6"/>
            </a:solidFill>
            <a:ln>
              <a:solidFill>
                <a:srgbClr val="9DC3E6"/>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Dashboard!$Y$35:$AA$35</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9-5331-4A81-BDC9-B9544710561A}"/>
            </c:ext>
          </c:extLst>
        </c:ser>
        <c:ser>
          <c:idx val="10"/>
          <c:order val="9"/>
          <c:tx>
            <c:strRef>
              <c:f>Dashboard!$X$36</c:f>
              <c:strCache>
                <c:ptCount val="1"/>
                <c:pt idx="0">
                  <c:v>Regulation - PJM Market</c:v>
                </c:pt>
              </c:strCache>
            </c:strRef>
          </c:tx>
          <c:spPr>
            <a:solidFill>
              <a:srgbClr val="BDD7EE"/>
            </a:solidFill>
            <a:ln>
              <a:solidFill>
                <a:srgbClr val="BDD7EE"/>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Dashboard!$Y$36:$AA$36</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A-5331-4A81-BDC9-B9544710561A}"/>
            </c:ext>
          </c:extLst>
        </c:ser>
        <c:ser>
          <c:idx val="11"/>
          <c:order val="10"/>
          <c:tx>
            <c:strRef>
              <c:f>Dashboard!$X$37</c:f>
              <c:strCache>
                <c:ptCount val="1"/>
                <c:pt idx="0">
                  <c:v>Incurred Energy Charges</c:v>
                </c:pt>
              </c:strCache>
            </c:strRef>
          </c:tx>
          <c:spPr>
            <a:solidFill>
              <a:srgbClr val="C00000"/>
            </a:solidFill>
            <a:ln>
              <a:solidFill>
                <a:srgbClr val="C00000"/>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Dashboard!$Y$37:$AA$37</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B-5331-4A81-BDC9-B9544710561A}"/>
            </c:ext>
          </c:extLst>
        </c:ser>
        <c:ser>
          <c:idx val="12"/>
          <c:order val="11"/>
          <c:tx>
            <c:strRef>
              <c:f>Dashboard!$X$38</c:f>
              <c:strCache>
                <c:ptCount val="1"/>
                <c:pt idx="0">
                  <c:v>As Used Demand Charges</c:v>
                </c:pt>
              </c:strCache>
            </c:strRef>
          </c:tx>
          <c:spPr>
            <a:solidFill>
              <a:srgbClr val="E97132"/>
            </a:solidFill>
            <a:ln>
              <a:solidFill>
                <a:srgbClr val="E97132"/>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Dashboard!$Y$38:$AA$38</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C-5331-4A81-BDC9-B9544710561A}"/>
            </c:ext>
          </c:extLst>
        </c:ser>
        <c:ser>
          <c:idx val="13"/>
          <c:order val="12"/>
          <c:tx>
            <c:strRef>
              <c:f>Dashboard!$X$39</c:f>
              <c:strCache>
                <c:ptCount val="1"/>
                <c:pt idx="0">
                  <c:v>Contract Demand Charges  Fixed</c:v>
                </c:pt>
              </c:strCache>
            </c:strRef>
          </c:tx>
          <c:spPr>
            <a:solidFill>
              <a:srgbClr val="F4B183"/>
            </a:solidFill>
            <a:ln>
              <a:solidFill>
                <a:srgbClr val="F4B183"/>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Dashboard!$Y$39:$AA$39</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D-5331-4A81-BDC9-B9544710561A}"/>
            </c:ext>
          </c:extLst>
        </c:ser>
        <c:ser>
          <c:idx val="14"/>
          <c:order val="13"/>
          <c:tx>
            <c:strRef>
              <c:f>Dashboard!$X$40</c:f>
              <c:strCache>
                <c:ptCount val="1"/>
                <c:pt idx="0">
                  <c:v>Customer Charges/ Fixed Charges</c:v>
                </c:pt>
              </c:strCache>
            </c:strRef>
          </c:tx>
          <c:spPr>
            <a:solidFill>
              <a:srgbClr val="FFD966"/>
            </a:solidFill>
            <a:ln>
              <a:solidFill>
                <a:srgbClr val="FFD966"/>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Dashboard!$Y$40:$AA$40</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0E-5331-4A81-BDC9-B9544710561A}"/>
            </c:ext>
          </c:extLst>
        </c:ser>
        <c:ser>
          <c:idx val="15"/>
          <c:order val="14"/>
          <c:tx>
            <c:strRef>
              <c:f>Dashboard!$X$41</c:f>
              <c:strCache>
                <c:ptCount val="1"/>
                <c:pt idx="0">
                  <c:v>Energy Savings</c:v>
                </c:pt>
              </c:strCache>
            </c:strRef>
          </c:tx>
          <c:spPr>
            <a:solidFill>
              <a:srgbClr val="548235"/>
            </a:solidFill>
            <a:ln>
              <a:solidFill>
                <a:srgbClr val="548235"/>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Dashboard!$Y$41:$AA$41</c:f>
              <c:numCache>
                <c:formatCode>"$"#,##0_);[Red]\("$"#,##0\)</c:formatCode>
                <c:ptCount val="3"/>
                <c:pt idx="0" formatCode="&quot;$&quot;#,##0">
                  <c:v>0</c:v>
                </c:pt>
                <c:pt idx="1">
                  <c:v>2369.1988680097766</c:v>
                </c:pt>
                <c:pt idx="2" formatCode="&quot;$&quot;#,##0">
                  <c:v>2369.1988680097766</c:v>
                </c:pt>
              </c:numCache>
            </c:numRef>
          </c:val>
          <c:extLst>
            <c:ext xmlns:c16="http://schemas.microsoft.com/office/drawing/2014/chart" uri="{C3380CC4-5D6E-409C-BE32-E72D297353CC}">
              <c16:uniqueId val="{0000000F-5331-4A81-BDC9-B9544710561A}"/>
            </c:ext>
          </c:extLst>
        </c:ser>
        <c:ser>
          <c:idx val="16"/>
          <c:order val="15"/>
          <c:tx>
            <c:strRef>
              <c:f>Dashboard!$X$42</c:f>
              <c:strCache>
                <c:ptCount val="1"/>
                <c:pt idx="0">
                  <c:v>Demand Savings </c:v>
                </c:pt>
              </c:strCache>
            </c:strRef>
          </c:tx>
          <c:spPr>
            <a:solidFill>
              <a:srgbClr val="A9D18E"/>
            </a:solidFill>
            <a:ln>
              <a:solidFill>
                <a:srgbClr val="A9D18E"/>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Dashboard!$Y$42:$AA$42</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10-5331-4A81-BDC9-B9544710561A}"/>
            </c:ext>
          </c:extLst>
        </c:ser>
        <c:ser>
          <c:idx val="17"/>
          <c:order val="16"/>
          <c:tx>
            <c:strRef>
              <c:f>Dashboard!$X$43</c:f>
              <c:strCache>
                <c:ptCount val="1"/>
                <c:pt idx="0">
                  <c:v>Energy Generation - Export</c:v>
                </c:pt>
              </c:strCache>
            </c:strRef>
          </c:tx>
          <c:spPr>
            <a:solidFill>
              <a:srgbClr val="7030A0"/>
            </a:solidFill>
            <a:ln>
              <a:solidFill>
                <a:srgbClr val="7030A0"/>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Dashboard!$Y$43:$AA$43</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11-5331-4A81-BDC9-B9544710561A}"/>
            </c:ext>
          </c:extLst>
        </c:ser>
        <c:ser>
          <c:idx val="18"/>
          <c:order val="17"/>
          <c:tx>
            <c:strRef>
              <c:f>Dashboard!$X$44</c:f>
              <c:strCache>
                <c:ptCount val="1"/>
                <c:pt idx="0">
                  <c:v>Generation Capacity</c:v>
                </c:pt>
              </c:strCache>
            </c:strRef>
          </c:tx>
          <c:spPr>
            <a:solidFill>
              <a:srgbClr val="9966CC"/>
            </a:solidFill>
            <a:ln>
              <a:solidFill>
                <a:srgbClr val="9966CC"/>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Dashboard!$Y$44:$AA$44</c:f>
              <c:numCache>
                <c:formatCode>"$"#,##0_);[Red]\("$"#,##0\)</c:formatCode>
                <c:ptCount val="3"/>
                <c:pt idx="0" formatCode="&quot;$&quot;#,##0">
                  <c:v>0</c:v>
                </c:pt>
                <c:pt idx="1">
                  <c:v>2047.1420730986199</c:v>
                </c:pt>
                <c:pt idx="2" formatCode="&quot;$&quot;#,##0">
                  <c:v>0</c:v>
                </c:pt>
              </c:numCache>
            </c:numRef>
          </c:val>
          <c:extLst>
            <c:ext xmlns:c16="http://schemas.microsoft.com/office/drawing/2014/chart" uri="{C3380CC4-5D6E-409C-BE32-E72D297353CC}">
              <c16:uniqueId val="{00000012-5331-4A81-BDC9-B9544710561A}"/>
            </c:ext>
          </c:extLst>
        </c:ser>
        <c:ser>
          <c:idx val="19"/>
          <c:order val="18"/>
          <c:tx>
            <c:strRef>
              <c:f>Dashboard!$X$45</c:f>
              <c:strCache>
                <c:ptCount val="1"/>
                <c:pt idx="0">
                  <c:v>Transmission Capacity</c:v>
                </c:pt>
              </c:strCache>
            </c:strRef>
          </c:tx>
          <c:spPr>
            <a:solidFill>
              <a:srgbClr val="B19CD9"/>
            </a:solidFill>
            <a:ln>
              <a:solidFill>
                <a:srgbClr val="B19CD9"/>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Dashboard!$Y$45:$AA$45</c:f>
              <c:numCache>
                <c:formatCode>"$"#,##0_);[Red]\("$"#,##0\)</c:formatCode>
                <c:ptCount val="3"/>
                <c:pt idx="0" formatCode="&quot;$&quot;#,##0">
                  <c:v>0</c:v>
                </c:pt>
                <c:pt idx="1">
                  <c:v>678.10729452072349</c:v>
                </c:pt>
                <c:pt idx="2" formatCode="&quot;$&quot;#,##0">
                  <c:v>0</c:v>
                </c:pt>
              </c:numCache>
            </c:numRef>
          </c:val>
          <c:extLst>
            <c:ext xmlns:c16="http://schemas.microsoft.com/office/drawing/2014/chart" uri="{C3380CC4-5D6E-409C-BE32-E72D297353CC}">
              <c16:uniqueId val="{00000013-5331-4A81-BDC9-B9544710561A}"/>
            </c:ext>
          </c:extLst>
        </c:ser>
        <c:ser>
          <c:idx val="20"/>
          <c:order val="19"/>
          <c:tx>
            <c:strRef>
              <c:f>Dashboard!$X$46</c:f>
              <c:strCache>
                <c:ptCount val="1"/>
                <c:pt idx="0">
                  <c:v>Distribution Capacity</c:v>
                </c:pt>
              </c:strCache>
            </c:strRef>
          </c:tx>
          <c:spPr>
            <a:solidFill>
              <a:srgbClr val="D6BCEA"/>
            </a:solidFill>
            <a:ln>
              <a:solidFill>
                <a:srgbClr val="D6BCEA"/>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Dashboard!$Y$46:$AA$46</c:f>
              <c:numCache>
                <c:formatCode>"$"#,##0_);[Red]\("$"#,##0\)</c:formatCode>
                <c:ptCount val="3"/>
                <c:pt idx="0" formatCode="&quot;$&quot;#,##0">
                  <c:v>0</c:v>
                </c:pt>
                <c:pt idx="1">
                  <c:v>165.53483604594669</c:v>
                </c:pt>
                <c:pt idx="2" formatCode="&quot;$&quot;#,##0">
                  <c:v>0</c:v>
                </c:pt>
              </c:numCache>
            </c:numRef>
          </c:val>
          <c:extLst>
            <c:ext xmlns:c16="http://schemas.microsoft.com/office/drawing/2014/chart" uri="{C3380CC4-5D6E-409C-BE32-E72D297353CC}">
              <c16:uniqueId val="{00000014-5331-4A81-BDC9-B9544710561A}"/>
            </c:ext>
          </c:extLst>
        </c:ser>
        <c:ser>
          <c:idx val="21"/>
          <c:order val="20"/>
          <c:tx>
            <c:strRef>
              <c:f>Dashboard!$X$47</c:f>
              <c:strCache>
                <c:ptCount val="1"/>
                <c:pt idx="0">
                  <c:v>GHG Impacts</c:v>
                </c:pt>
              </c:strCache>
            </c:strRef>
          </c:tx>
          <c:spPr>
            <a:solidFill>
              <a:srgbClr val="2E8B8B"/>
            </a:solidFill>
            <a:ln>
              <a:solidFill>
                <a:srgbClr val="2E8B8B"/>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Dashboard!$Y$47:$AA$47</c:f>
              <c:numCache>
                <c:formatCode>"$"#,##0_);[Red]\("$"#,##0\)</c:formatCode>
                <c:ptCount val="3"/>
                <c:pt idx="0" formatCode="&quot;$&quot;#,##0">
                  <c:v>0</c:v>
                </c:pt>
                <c:pt idx="1">
                  <c:v>1163.2637759587728</c:v>
                </c:pt>
                <c:pt idx="2" formatCode="&quot;$&quot;#,##0">
                  <c:v>0</c:v>
                </c:pt>
              </c:numCache>
            </c:numRef>
          </c:val>
          <c:extLst>
            <c:ext xmlns:c16="http://schemas.microsoft.com/office/drawing/2014/chart" uri="{C3380CC4-5D6E-409C-BE32-E72D297353CC}">
              <c16:uniqueId val="{00000015-5331-4A81-BDC9-B9544710561A}"/>
            </c:ext>
          </c:extLst>
        </c:ser>
        <c:ser>
          <c:idx val="22"/>
          <c:order val="21"/>
          <c:tx>
            <c:strRef>
              <c:f>Dashboard!$X$48</c:f>
              <c:strCache>
                <c:ptCount val="1"/>
                <c:pt idx="0">
                  <c:v>Market Price Effects - Wholesale Energy</c:v>
                </c:pt>
              </c:strCache>
            </c:strRef>
          </c:tx>
          <c:spPr>
            <a:solidFill>
              <a:srgbClr val="5BAFAF"/>
            </a:solidFill>
            <a:ln>
              <a:solidFill>
                <a:srgbClr val="5BAFAF"/>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Dashboard!$Y$48:$AA$48</c:f>
              <c:numCache>
                <c:formatCode>"$"#,##0_);[Red]\("$"#,##0\)</c:formatCode>
                <c:ptCount val="3"/>
                <c:pt idx="0" formatCode="&quot;$&quot;#,##0">
                  <c:v>0</c:v>
                </c:pt>
                <c:pt idx="1">
                  <c:v>327.92537825353111</c:v>
                </c:pt>
                <c:pt idx="2" formatCode="&quot;$&quot;#,##0">
                  <c:v>0</c:v>
                </c:pt>
              </c:numCache>
            </c:numRef>
          </c:val>
          <c:extLst>
            <c:ext xmlns:c16="http://schemas.microsoft.com/office/drawing/2014/chart" uri="{C3380CC4-5D6E-409C-BE32-E72D297353CC}">
              <c16:uniqueId val="{00000016-5331-4A81-BDC9-B9544710561A}"/>
            </c:ext>
          </c:extLst>
        </c:ser>
        <c:ser>
          <c:idx val="23"/>
          <c:order val="22"/>
          <c:tx>
            <c:strRef>
              <c:f>Dashboard!$X$49</c:f>
              <c:strCache>
                <c:ptCount val="1"/>
                <c:pt idx="0">
                  <c:v>Market Price Effects - Wholesale Capacity</c:v>
                </c:pt>
              </c:strCache>
            </c:strRef>
          </c:tx>
          <c:spPr>
            <a:solidFill>
              <a:srgbClr val="8FCACA"/>
            </a:solidFill>
            <a:ln>
              <a:solidFill>
                <a:srgbClr val="8FCACA"/>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Dashboard!$Y$49:$AA$49</c:f>
              <c:numCache>
                <c:formatCode>"$"#,##0_);[Red]\("$"#,##0\)</c:formatCode>
                <c:ptCount val="3"/>
                <c:pt idx="0" formatCode="&quot;$&quot;#,##0">
                  <c:v>0</c:v>
                </c:pt>
                <c:pt idx="1">
                  <c:v>0</c:v>
                </c:pt>
                <c:pt idx="2" formatCode="&quot;$&quot;#,##0">
                  <c:v>0</c:v>
                </c:pt>
              </c:numCache>
            </c:numRef>
          </c:val>
          <c:extLst>
            <c:ext xmlns:c16="http://schemas.microsoft.com/office/drawing/2014/chart" uri="{C3380CC4-5D6E-409C-BE32-E72D297353CC}">
              <c16:uniqueId val="{00000017-5331-4A81-BDC9-B9544710561A}"/>
            </c:ext>
          </c:extLst>
        </c:ser>
        <c:ser>
          <c:idx val="24"/>
          <c:order val="23"/>
          <c:tx>
            <c:strRef>
              <c:f>Dashboard!$X$50</c:f>
              <c:strCache>
                <c:ptCount val="1"/>
                <c:pt idx="0">
                  <c:v>Avoided Cost of Participant Backup Generator</c:v>
                </c:pt>
              </c:strCache>
            </c:strRef>
          </c:tx>
          <c:spPr>
            <a:solidFill>
              <a:srgbClr val="404040"/>
            </a:solidFill>
            <a:ln>
              <a:solidFill>
                <a:srgbClr val="404040"/>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Dashboard!$Y$50:$AA$50</c:f>
              <c:numCache>
                <c:formatCode>"$"#,##0_);[Red]\("$"#,##0\)</c:formatCode>
                <c:ptCount val="3"/>
                <c:pt idx="0" formatCode="&quot;$&quot;#,##0">
                  <c:v>0</c:v>
                </c:pt>
                <c:pt idx="1">
                  <c:v>1580.2469135802469</c:v>
                </c:pt>
                <c:pt idx="2" formatCode="&quot;$&quot;#,##0">
                  <c:v>1580.2469135802469</c:v>
                </c:pt>
              </c:numCache>
            </c:numRef>
          </c:val>
          <c:extLst>
            <c:ext xmlns:c16="http://schemas.microsoft.com/office/drawing/2014/chart" uri="{C3380CC4-5D6E-409C-BE32-E72D297353CC}">
              <c16:uniqueId val="{00000018-5331-4A81-BDC9-B9544710561A}"/>
            </c:ext>
          </c:extLst>
        </c:ser>
        <c:ser>
          <c:idx val="25"/>
          <c:order val="24"/>
          <c:tx>
            <c:strRef>
              <c:f>Dashboard!$X$51</c:f>
              <c:strCache>
                <c:ptCount val="1"/>
                <c:pt idx="0">
                  <c:v>ITC</c:v>
                </c:pt>
              </c:strCache>
            </c:strRef>
          </c:tx>
          <c:spPr>
            <a:solidFill>
              <a:srgbClr val="8FAADC"/>
            </a:solidFill>
            <a:ln>
              <a:solidFill>
                <a:srgbClr val="8FAADC"/>
              </a:solidFill>
              <a:prstDash val="solid"/>
            </a:ln>
            <a:effectLst/>
          </c:spPr>
          <c:invertIfNegative val="0"/>
          <c:cat>
            <c:strRef>
              <c:f>Dashboard!$Y$26:$AA$26</c:f>
              <c:strCache>
                <c:ptCount val="3"/>
                <c:pt idx="0">
                  <c:v> Cost</c:v>
                </c:pt>
                <c:pt idx="1">
                  <c:v> Benefits (w/ Grid Services)</c:v>
                </c:pt>
                <c:pt idx="2">
                  <c:v> Benefits w/o Grid Services</c:v>
                </c:pt>
              </c:strCache>
            </c:strRef>
          </c:cat>
          <c:val>
            <c:numRef>
              <c:f>Dashboard!$Y$51:$AA$51</c:f>
              <c:numCache>
                <c:formatCode>"$"#,##0_);[Red]\("$"#,##0\)</c:formatCode>
                <c:ptCount val="3"/>
                <c:pt idx="0" formatCode="&quot;$&quot;#,##0">
                  <c:v>0</c:v>
                </c:pt>
                <c:pt idx="1">
                  <c:v>3328.2370370370372</c:v>
                </c:pt>
                <c:pt idx="2" formatCode="&quot;$&quot;#,##0">
                  <c:v>3328.2370370370372</c:v>
                </c:pt>
              </c:numCache>
            </c:numRef>
          </c:val>
          <c:extLst>
            <c:ext xmlns:c16="http://schemas.microsoft.com/office/drawing/2014/chart" uri="{C3380CC4-5D6E-409C-BE32-E72D297353CC}">
              <c16:uniqueId val="{00000019-5331-4A81-BDC9-B9544710561A}"/>
            </c:ext>
          </c:extLst>
        </c:ser>
        <c:dLbls>
          <c:showLegendKey val="0"/>
          <c:showVal val="0"/>
          <c:showCatName val="0"/>
          <c:showSerName val="0"/>
          <c:showPercent val="0"/>
          <c:showBubbleSize val="0"/>
        </c:dLbls>
        <c:gapWidth val="150"/>
        <c:overlap val="100"/>
        <c:axId val="381574928"/>
        <c:axId val="381575408"/>
      </c:barChart>
      <c:lineChart>
        <c:grouping val="standard"/>
        <c:varyColors val="0"/>
        <c:ser>
          <c:idx val="26"/>
          <c:order val="25"/>
          <c:tx>
            <c:v>Net Levelized Benefits</c:v>
          </c:tx>
          <c:spPr>
            <a:ln w="25400" cap="rnd">
              <a:noFill/>
              <a:round/>
            </a:ln>
            <a:effectLst/>
          </c:spPr>
          <c:marker>
            <c:symbol val="diamond"/>
            <c:size val="18"/>
            <c:spPr>
              <a:solidFill>
                <a:srgbClr val="FFC000"/>
              </a:solidFill>
              <a:ln w="0">
                <a:solidFill>
                  <a:schemeClr val="accent4"/>
                </a:solidFill>
                <a:prstDash val="solid"/>
              </a:ln>
              <a:effectLst/>
            </c:spPr>
          </c:marker>
          <c:dLbls>
            <c:numFmt formatCode="&quot;$&quot;#,##0" sourceLinked="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Dashboard!$Y$57:$AA$57</c:f>
              <c:numCache>
                <c:formatCode>_("$"* #,##0_);_("$"* \(#,##0\);_("$"* "-"??_);_(@_)</c:formatCode>
                <c:ptCount val="3"/>
                <c:pt idx="1">
                  <c:v>11659.656176504655</c:v>
                </c:pt>
                <c:pt idx="2">
                  <c:v>7277.6828186270604</c:v>
                </c:pt>
              </c:numCache>
            </c:numRef>
          </c:val>
          <c:smooth val="0"/>
          <c:extLst>
            <c:ext xmlns:c16="http://schemas.microsoft.com/office/drawing/2014/chart" uri="{C3380CC4-5D6E-409C-BE32-E72D297353CC}">
              <c16:uniqueId val="{00000000-49A6-4C7D-8761-551550F09621}"/>
            </c:ext>
          </c:extLst>
        </c:ser>
        <c:ser>
          <c:idx val="27"/>
          <c:order val="26"/>
          <c:tx>
            <c:v>Levelized Cost Marker</c:v>
          </c:tx>
          <c:spPr>
            <a:ln w="25400" cap="rnd">
              <a:noFill/>
              <a:round/>
            </a:ln>
            <a:effectLst/>
          </c:spPr>
          <c:marker>
            <c:symbol val="none"/>
          </c:marker>
          <c:dLbls>
            <c:numFmt formatCode="&quot;$&quot;#,##0" sourceLinked="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Dashboard!$Y$58:$AA$58</c:f>
              <c:numCache>
                <c:formatCode>General</c:formatCode>
                <c:ptCount val="3"/>
                <c:pt idx="0" formatCode="_(&quot;$&quot;* #,##0_);_(&quot;$&quot;* \(#,##0\);_(&quot;$&quot;* &quot;-&quot;??_);_(@_)">
                  <c:v>15564.234324076235</c:v>
                </c:pt>
              </c:numCache>
            </c:numRef>
          </c:val>
          <c:smooth val="0"/>
          <c:extLst>
            <c:ext xmlns:c16="http://schemas.microsoft.com/office/drawing/2014/chart" uri="{C3380CC4-5D6E-409C-BE32-E72D297353CC}">
              <c16:uniqueId val="{00000007-49A6-4C7D-8761-551550F09621}"/>
            </c:ext>
          </c:extLst>
        </c:ser>
        <c:dLbls>
          <c:showLegendKey val="0"/>
          <c:showVal val="0"/>
          <c:showCatName val="0"/>
          <c:showSerName val="0"/>
          <c:showPercent val="0"/>
          <c:showBubbleSize val="0"/>
        </c:dLbls>
        <c:marker val="1"/>
        <c:smooth val="0"/>
        <c:axId val="381574928"/>
        <c:axId val="381575408"/>
      </c:lineChart>
      <c:catAx>
        <c:axId val="381574928"/>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1" i="0" u="none" strike="noStrike" kern="1200" baseline="0">
                <a:solidFill>
                  <a:sysClr val="windowText" lastClr="000000"/>
                </a:solidFill>
                <a:latin typeface="Aptos" panose="020B0004020202020204" pitchFamily="34" charset="0"/>
                <a:ea typeface="+mn-ea"/>
                <a:cs typeface="+mn-cs"/>
              </a:defRPr>
            </a:pPr>
            <a:endParaRPr lang="en-US"/>
          </a:p>
        </c:txPr>
        <c:crossAx val="381575408"/>
        <c:crosses val="autoZero"/>
        <c:auto val="1"/>
        <c:lblAlgn val="ctr"/>
        <c:lblOffset val="100"/>
        <c:noMultiLvlLbl val="0"/>
      </c:catAx>
      <c:valAx>
        <c:axId val="381575408"/>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Aptos" panose="020B0004020202020204" pitchFamily="34" charset="0"/>
                <a:ea typeface="+mn-ea"/>
                <a:cs typeface="+mn-cs"/>
              </a:defRPr>
            </a:pPr>
            <a:endParaRPr lang="en-US"/>
          </a:p>
        </c:txPr>
        <c:crossAx val="381574928"/>
        <c:crosses val="autoZero"/>
        <c:crossBetween val="between"/>
      </c:valAx>
      <c:spPr>
        <a:noFill/>
        <a:ln>
          <a:noFill/>
        </a:ln>
        <a:effectLst/>
      </c:spPr>
    </c:plotArea>
    <c:legend>
      <c:legendPos val="r"/>
      <c:legendEntry>
        <c:idx val="26"/>
        <c:delete val="1"/>
      </c:legendEntry>
      <c:layout>
        <c:manualLayout>
          <c:xMode val="edge"/>
          <c:yMode val="edge"/>
          <c:x val="0.77542332426099814"/>
          <c:y val="6.0203212659300947E-4"/>
          <c:w val="0.22331089186150063"/>
          <c:h val="0.99939796787340696"/>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Aptos" panose="020B0004020202020204" pitchFamily="34" charset="0"/>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28575" cap="flat" cmpd="sng" algn="ctr">
      <a:solidFill>
        <a:sysClr val="windowText" lastClr="000000"/>
      </a:solid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2</xdr:col>
      <xdr:colOff>0</xdr:colOff>
      <xdr:row>6</xdr:row>
      <xdr:rowOff>18233</xdr:rowOff>
    </xdr:from>
    <xdr:ext cx="8153400" cy="1475288"/>
    <xdr:sp macro="" textlink="">
      <xdr:nvSpPr>
        <xdr:cNvPr id="3" name="TextBox 2">
          <a:extLst>
            <a:ext uri="{FF2B5EF4-FFF2-40B4-BE49-F238E27FC236}">
              <a16:creationId xmlns:a16="http://schemas.microsoft.com/office/drawing/2014/main" id="{13C0A16D-626A-4D61-870F-2EFFE95F8F2F}"/>
            </a:ext>
          </a:extLst>
        </xdr:cNvPr>
        <xdr:cNvSpPr txBox="1"/>
      </xdr:nvSpPr>
      <xdr:spPr>
        <a:xfrm>
          <a:off x="175260" y="1237433"/>
          <a:ext cx="8153400" cy="1475288"/>
        </a:xfrm>
        <a:prstGeom prst="rect">
          <a:avLst/>
        </a:prstGeom>
        <a:solidFill>
          <a:schemeClr val="bg2"/>
        </a:solidFill>
        <a:ln>
          <a:solidFill>
            <a:schemeClr val="accent5"/>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800">
              <a:solidFill>
                <a:schemeClr val="tx1"/>
              </a:solidFill>
            </a:rPr>
            <a:t>This tool</a:t>
          </a:r>
          <a:r>
            <a:rPr lang="en-GB" sz="800" baseline="0">
              <a:solidFill>
                <a:schemeClr val="tx1"/>
              </a:solidFill>
            </a:rPr>
            <a:t> calculates a Financial Gap for a number of representative project configurations. All projects are distribution-connected and located in Maryland. This tool was prepared for the Maryland PSC in support of the Grid Services Design Study that was submited by Customized Energy Solution, Ltd. (CES) with support from Apex Analytics, LLC (Apex). </a:t>
          </a:r>
        </a:p>
        <a:p>
          <a:endParaRPr lang="en-GB" sz="800" baseline="0">
            <a:solidFill>
              <a:schemeClr val="tx1"/>
            </a:solidFill>
          </a:endParaRPr>
        </a:p>
        <a:p>
          <a:r>
            <a:rPr lang="en-GB" sz="800" baseline="0">
              <a:solidFill>
                <a:schemeClr val="tx1"/>
              </a:solidFill>
            </a:rPr>
            <a:t>The tool calculates the difference between the total projected project revenues and the total project costs. This difference is the financial gap of the project, or the required additional incentive a project would require to be economically feasible. If there is no gap, then the project's revenues exeed the costs. These values represent </a:t>
          </a:r>
          <a:r>
            <a:rPr lang="en-GB" sz="800" b="1" baseline="0">
              <a:solidFill>
                <a:schemeClr val="tx1"/>
              </a:solidFill>
            </a:rPr>
            <a:t>representative </a:t>
          </a:r>
          <a:r>
            <a:rPr lang="en-GB" sz="800" b="0" baseline="0">
              <a:solidFill>
                <a:schemeClr val="tx1"/>
              </a:solidFill>
            </a:rPr>
            <a:t>values. Actual projects costs and revenues will likely differ from the values presented here and the goal of the tool was to show an "average" project. </a:t>
          </a:r>
        </a:p>
        <a:p>
          <a:endParaRPr lang="en-GB" sz="800" b="0" baseline="0">
            <a:solidFill>
              <a:schemeClr val="tx1"/>
            </a:solidFill>
          </a:endParaRPr>
        </a:p>
        <a:p>
          <a:r>
            <a:rPr lang="en-GB" sz="800" baseline="0">
              <a:solidFill>
                <a:schemeClr val="tx1"/>
              </a:solidFill>
            </a:rPr>
            <a:t>Revenues are based uopn CES energy and ancillary servie market pricing and compensation values for the grid services reflect the latest EmPOWER values as of July 17, 2026. The report, titled  " Design and Development of a Grid Services Tariff and Incentive Framework for Distribution-Connected Storage" goes into greater detail on the rationale behind the key assumption used in this tool. </a:t>
          </a:r>
        </a:p>
        <a:p>
          <a:endParaRPr lang="en-GB" sz="800" baseline="0">
            <a:solidFill>
              <a:schemeClr val="tx1"/>
            </a:solidFill>
          </a:endParaRPr>
        </a:p>
      </xdr:txBody>
    </xdr:sp>
    <xdr:clientData/>
  </xdr:oneCellAnchor>
  <xdr:oneCellAnchor>
    <xdr:from>
      <xdr:col>2</xdr:col>
      <xdr:colOff>0</xdr:colOff>
      <xdr:row>17</xdr:row>
      <xdr:rowOff>99060</xdr:rowOff>
    </xdr:from>
    <xdr:ext cx="8172450" cy="577216"/>
    <xdr:sp macro="" textlink="">
      <xdr:nvSpPr>
        <xdr:cNvPr id="31" name="TextBox 30">
          <a:extLst>
            <a:ext uri="{FF2B5EF4-FFF2-40B4-BE49-F238E27FC236}">
              <a16:creationId xmlns:a16="http://schemas.microsoft.com/office/drawing/2014/main" id="{83ACA7BA-EE76-4E4D-9BD1-6998D4F39033}"/>
            </a:ext>
          </a:extLst>
        </xdr:cNvPr>
        <xdr:cNvSpPr txBox="1"/>
      </xdr:nvSpPr>
      <xdr:spPr>
        <a:xfrm>
          <a:off x="180975" y="3337560"/>
          <a:ext cx="8172450" cy="577216"/>
        </a:xfrm>
        <a:prstGeom prst="rect">
          <a:avLst/>
        </a:prstGeom>
        <a:solidFill>
          <a:schemeClr val="bg2"/>
        </a:solidFill>
        <a:ln>
          <a:solidFill>
            <a:schemeClr val="accent5"/>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800">
              <a:solidFill>
                <a:schemeClr val="tx1"/>
              </a:solidFill>
              <a:effectLst/>
              <a:latin typeface="+mn-lt"/>
              <a:ea typeface="+mn-ea"/>
              <a:cs typeface="+mn-cs"/>
            </a:rPr>
            <a:t>This deliverable was prepared by Cusomtized Energy Solutions, Ltd. for the sole use and benefit of, and pursuant to a client relationship exclusively with </a:t>
          </a:r>
          <a:r>
            <a:rPr lang="en-GB" sz="800" b="0" i="0">
              <a:solidFill>
                <a:schemeClr val="tx1"/>
              </a:solidFill>
              <a:effectLst/>
              <a:latin typeface="+mn-lt"/>
              <a:ea typeface="+mn-ea"/>
              <a:cs typeface="+mn-cs"/>
            </a:rPr>
            <a:t>the</a:t>
          </a:r>
          <a:r>
            <a:rPr lang="en-GB" sz="800" b="0" i="0" baseline="0">
              <a:solidFill>
                <a:schemeClr val="tx1"/>
              </a:solidFill>
              <a:effectLst/>
              <a:latin typeface="+mn-lt"/>
              <a:ea typeface="+mn-ea"/>
              <a:cs typeface="+mn-cs"/>
            </a:rPr>
            <a:t> Maryland Public Services Commision </a:t>
          </a:r>
          <a:r>
            <a:rPr lang="en-GB" sz="800">
              <a:solidFill>
                <a:schemeClr val="tx1"/>
              </a:solidFill>
              <a:effectLst/>
              <a:latin typeface="+mn-lt"/>
              <a:ea typeface="+mn-ea"/>
              <a:cs typeface="+mn-cs"/>
            </a:rPr>
            <a:t>("Client"). The work presented in this deliverable represents CES's professional judgement based on the information available at the time this deliverable was prepared. The information in this deliverable may not be relied upon by anyone other than Client. Accordingly, CES disclaims any contractual or other responsibility to others based on their access to or use of the deliverable.</a:t>
          </a:r>
        </a:p>
      </xdr:txBody>
    </xdr:sp>
    <xdr:clientData/>
  </xdr:oneCellAnchor>
  <xdr:twoCellAnchor editAs="oneCell">
    <xdr:from>
      <xdr:col>5</xdr:col>
      <xdr:colOff>839976</xdr:colOff>
      <xdr:row>3</xdr:row>
      <xdr:rowOff>76199</xdr:rowOff>
    </xdr:from>
    <xdr:to>
      <xdr:col>5</xdr:col>
      <xdr:colOff>2345055</xdr:colOff>
      <xdr:row>3</xdr:row>
      <xdr:rowOff>627808</xdr:rowOff>
    </xdr:to>
    <xdr:pic>
      <xdr:nvPicPr>
        <xdr:cNvPr id="33" name="Picture 32">
          <a:extLst>
            <a:ext uri="{FF2B5EF4-FFF2-40B4-BE49-F238E27FC236}">
              <a16:creationId xmlns:a16="http://schemas.microsoft.com/office/drawing/2014/main" id="{D1635F0F-7B51-46C3-DC26-0155C0475E53}"/>
            </a:ext>
          </a:extLst>
        </xdr:cNvPr>
        <xdr:cNvPicPr>
          <a:picLocks noChangeAspect="1"/>
        </xdr:cNvPicPr>
      </xdr:nvPicPr>
      <xdr:blipFill>
        <a:blip xmlns:r="http://schemas.openxmlformats.org/officeDocument/2006/relationships" r:embed="rId1"/>
        <a:stretch>
          <a:fillRect/>
        </a:stretch>
      </xdr:blipFill>
      <xdr:spPr>
        <a:xfrm>
          <a:off x="1963926" y="76199"/>
          <a:ext cx="1510794" cy="551609"/>
        </a:xfrm>
        <a:prstGeom prst="rect">
          <a:avLst/>
        </a:prstGeom>
      </xdr:spPr>
    </xdr:pic>
    <xdr:clientData/>
  </xdr:twoCellAnchor>
  <xdr:twoCellAnchor editAs="oneCell">
    <xdr:from>
      <xdr:col>6</xdr:col>
      <xdr:colOff>0</xdr:colOff>
      <xdr:row>3</xdr:row>
      <xdr:rowOff>57150</xdr:rowOff>
    </xdr:from>
    <xdr:to>
      <xdr:col>8</xdr:col>
      <xdr:colOff>363239</xdr:colOff>
      <xdr:row>3</xdr:row>
      <xdr:rowOff>624840</xdr:rowOff>
    </xdr:to>
    <xdr:pic>
      <xdr:nvPicPr>
        <xdr:cNvPr id="34" name="Picture 33">
          <a:extLst>
            <a:ext uri="{FF2B5EF4-FFF2-40B4-BE49-F238E27FC236}">
              <a16:creationId xmlns:a16="http://schemas.microsoft.com/office/drawing/2014/main" id="{D68DCD4F-ED73-20F4-38A2-BBE6154AD3B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86299" y="57150"/>
          <a:ext cx="563264" cy="567690"/>
        </a:xfrm>
        <a:prstGeom prst="rect">
          <a:avLst/>
        </a:prstGeom>
        <a:noFill/>
        <a:ln>
          <a:noFill/>
        </a:ln>
      </xdr:spPr>
    </xdr:pic>
    <xdr:clientData/>
  </xdr:twoCellAnchor>
  <xdr:oneCellAnchor>
    <xdr:from>
      <xdr:col>2</xdr:col>
      <xdr:colOff>17144</xdr:colOff>
      <xdr:row>43</xdr:row>
      <xdr:rowOff>114300</xdr:rowOff>
    </xdr:from>
    <xdr:ext cx="8151495" cy="1114425"/>
    <xdr:sp macro="" textlink="">
      <xdr:nvSpPr>
        <xdr:cNvPr id="35" name="TextBox 34">
          <a:extLst>
            <a:ext uri="{FF2B5EF4-FFF2-40B4-BE49-F238E27FC236}">
              <a16:creationId xmlns:a16="http://schemas.microsoft.com/office/drawing/2014/main" id="{7E57C9F8-6C2B-4671-9BA0-6602C2152832}"/>
            </a:ext>
          </a:extLst>
        </xdr:cNvPr>
        <xdr:cNvSpPr txBox="1"/>
      </xdr:nvSpPr>
      <xdr:spPr>
        <a:xfrm>
          <a:off x="198119" y="7534275"/>
          <a:ext cx="8151495" cy="1114425"/>
        </a:xfrm>
        <a:prstGeom prst="rect">
          <a:avLst/>
        </a:prstGeom>
        <a:solidFill>
          <a:schemeClr val="bg2"/>
        </a:solidFill>
        <a:ln>
          <a:solidFill>
            <a:schemeClr val="accent5"/>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800"/>
            <a:t>This workbook includes user-adjustable assumptions that can be updated to reflect changes in project costs, financial assumptions, and market inputs. Editable inputs are identified by </a:t>
          </a:r>
          <a:r>
            <a:rPr lang="en-US" sz="800" b="1"/>
            <a:t>blue text</a:t>
          </a:r>
          <a:r>
            <a:rPr lang="en-US" sz="800"/>
            <a:t> and are located primarily within the </a:t>
          </a:r>
          <a:r>
            <a:rPr lang="en-US" sz="800" b="1"/>
            <a:t>Inputs</a:t>
          </a:r>
          <a:r>
            <a:rPr lang="en-US" sz="800"/>
            <a:t> tab (with capacity market assumptions maintained in the </a:t>
          </a:r>
          <a:r>
            <a:rPr lang="en-US" sz="800" b="1"/>
            <a:t>Capacity Values</a:t>
          </a:r>
          <a:r>
            <a:rPr lang="en-US" sz="800"/>
            <a:t> tab). Updates to these assumptions will flow through the financial calculations and update the resulting financial gap, project returns, costs, and benefits.</a:t>
          </a:r>
        </a:p>
        <a:p>
          <a:endParaRPr lang="en-US" sz="800"/>
        </a:p>
        <a:p>
          <a:r>
            <a:rPr lang="en-US" sz="800"/>
            <a:t>Users should be aware that the workbook does </a:t>
          </a:r>
          <a:r>
            <a:rPr lang="en-US" sz="800" b="1"/>
            <a:t>not</a:t>
          </a:r>
          <a:r>
            <a:rPr lang="en-US" sz="800"/>
            <a:t> re-optimize battery dispatch. The dispatch profile and associated benefit streams are generated externally using CES’s optimization platform and imported into the workbook. Any changes that could impact battery operations, market participation, or dispatch behavior (including system configuration, charging structure, market forecasts, project timing, or new revenue streams) require the underlying optimization model to be updated and rerun before incorporating changes into this workbook. Modifications made directly within the workbook should be limited to assumptions that do not alter the modeled dispatch behavior.</a:t>
          </a:r>
          <a:br>
            <a:rPr lang="en-US" sz="800"/>
          </a:br>
          <a:endParaRPr lang="en-US" sz="8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2</xdr:col>
      <xdr:colOff>323850</xdr:colOff>
      <xdr:row>1</xdr:row>
      <xdr:rowOff>123825</xdr:rowOff>
    </xdr:from>
    <xdr:to>
      <xdr:col>6</xdr:col>
      <xdr:colOff>571500</xdr:colOff>
      <xdr:row>5</xdr:row>
      <xdr:rowOff>158115</xdr:rowOff>
    </xdr:to>
    <xdr:sp macro="" textlink="">
      <xdr:nvSpPr>
        <xdr:cNvPr id="2" name="TextBox 1">
          <a:extLst>
            <a:ext uri="{FF2B5EF4-FFF2-40B4-BE49-F238E27FC236}">
              <a16:creationId xmlns:a16="http://schemas.microsoft.com/office/drawing/2014/main" id="{FFD47228-1531-4BB3-82D5-95BEFB85FE1F}"/>
            </a:ext>
          </a:extLst>
        </xdr:cNvPr>
        <xdr:cNvSpPr txBox="1"/>
      </xdr:nvSpPr>
      <xdr:spPr>
        <a:xfrm>
          <a:off x="1543050" y="304800"/>
          <a:ext cx="4772025" cy="758190"/>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200">
              <a:solidFill>
                <a:srgbClr val="7030A0"/>
              </a:solidFill>
              <a:latin typeface="+mn-lt"/>
              <a:ea typeface="+mn-ea"/>
              <a:cs typeface="+mn-cs"/>
            </a:rPr>
            <a:t>For more detailed information on the representative</a:t>
          </a:r>
          <a:r>
            <a:rPr lang="en-US" sz="1200" baseline="0">
              <a:solidFill>
                <a:srgbClr val="7030A0"/>
              </a:solidFill>
              <a:latin typeface="+mn-lt"/>
              <a:ea typeface="+mn-ea"/>
              <a:cs typeface="+mn-cs"/>
            </a:rPr>
            <a:t> cases</a:t>
          </a:r>
          <a:r>
            <a:rPr lang="en-US" sz="1200">
              <a:solidFill>
                <a:srgbClr val="7030A0"/>
              </a:solidFill>
              <a:latin typeface="+mn-lt"/>
              <a:ea typeface="+mn-ea"/>
              <a:cs typeface="+mn-cs"/>
            </a:rPr>
            <a:t>, refer to the report, titled "Design and Development of a Grid Services Tariff and Incentive Framework for Distribution-Connected Storage".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973005</xdr:colOff>
      <xdr:row>1</xdr:row>
      <xdr:rowOff>108475</xdr:rowOff>
    </xdr:from>
    <xdr:to>
      <xdr:col>4</xdr:col>
      <xdr:colOff>2257873</xdr:colOff>
      <xdr:row>5</xdr:row>
      <xdr:rowOff>100854</xdr:rowOff>
    </xdr:to>
    <xdr:sp macro="" textlink="">
      <xdr:nvSpPr>
        <xdr:cNvPr id="2" name="TextBox 1">
          <a:extLst>
            <a:ext uri="{FF2B5EF4-FFF2-40B4-BE49-F238E27FC236}">
              <a16:creationId xmlns:a16="http://schemas.microsoft.com/office/drawing/2014/main" id="{A0A28784-B605-DD9D-A88E-C952FF3E80B2}"/>
            </a:ext>
          </a:extLst>
        </xdr:cNvPr>
        <xdr:cNvSpPr txBox="1"/>
      </xdr:nvSpPr>
      <xdr:spPr>
        <a:xfrm>
          <a:off x="4133064" y="108475"/>
          <a:ext cx="7459309" cy="709555"/>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200">
              <a:solidFill>
                <a:srgbClr val="7030A0"/>
              </a:solidFill>
              <a:latin typeface="+mn-lt"/>
              <a:ea typeface="+mn-ea"/>
              <a:cs typeface="+mn-cs"/>
            </a:rPr>
            <a:t>For more detailed information on the benefits and Grid Services, refer to the report, titled "Design and Development of a Grid Services Tariff and Incentive Framework for Distribution-Connected Storage".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30312</xdr:colOff>
      <xdr:row>1</xdr:row>
      <xdr:rowOff>142134</xdr:rowOff>
    </xdr:from>
    <xdr:to>
      <xdr:col>2</xdr:col>
      <xdr:colOff>1256986</xdr:colOff>
      <xdr:row>5</xdr:row>
      <xdr:rowOff>188816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0312" y="142134"/>
          <a:ext cx="2941386" cy="820949"/>
        </a:xfrm>
        <a:prstGeom prst="rect">
          <a:avLst/>
        </a:prstGeom>
      </xdr:spPr>
    </xdr:pic>
    <xdr:clientData/>
  </xdr:twoCellAnchor>
  <xdr:twoCellAnchor>
    <xdr:from>
      <xdr:col>7</xdr:col>
      <xdr:colOff>0</xdr:colOff>
      <xdr:row>14</xdr:row>
      <xdr:rowOff>0</xdr:rowOff>
    </xdr:from>
    <xdr:to>
      <xdr:col>8</xdr:col>
      <xdr:colOff>113665</xdr:colOff>
      <xdr:row>15</xdr:row>
      <xdr:rowOff>37676</xdr:rowOff>
    </xdr:to>
    <xdr:sp macro="" textlink="">
      <xdr:nvSpPr>
        <xdr:cNvPr id="15" name="Flowchart: Document 5">
          <a:extLst>
            <a:ext uri="{FF2B5EF4-FFF2-40B4-BE49-F238E27FC236}">
              <a16:creationId xmlns:a16="http://schemas.microsoft.com/office/drawing/2014/main" id="{C9D7E1F9-7FCF-44D2-887A-A8AF0358B356}"/>
            </a:ext>
          </a:extLst>
        </xdr:cNvPr>
        <xdr:cNvSpPr/>
      </xdr:nvSpPr>
      <xdr:spPr>
        <a:xfrm>
          <a:off x="12050486" y="2699657"/>
          <a:ext cx="1528808" cy="266276"/>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t>Costs</a:t>
          </a:r>
        </a:p>
      </xdr:txBody>
    </xdr:sp>
    <xdr:clientData/>
  </xdr:twoCellAnchor>
  <xdr:twoCellAnchor>
    <xdr:from>
      <xdr:col>7</xdr:col>
      <xdr:colOff>0</xdr:colOff>
      <xdr:row>12</xdr:row>
      <xdr:rowOff>0</xdr:rowOff>
    </xdr:from>
    <xdr:to>
      <xdr:col>8</xdr:col>
      <xdr:colOff>701465</xdr:colOff>
      <xdr:row>13</xdr:row>
      <xdr:rowOff>65405</xdr:rowOff>
    </xdr:to>
    <xdr:sp macro="" textlink="">
      <xdr:nvSpPr>
        <xdr:cNvPr id="7" name="Flowchart: Document 6">
          <a:extLst>
            <a:ext uri="{FF2B5EF4-FFF2-40B4-BE49-F238E27FC236}">
              <a16:creationId xmlns:a16="http://schemas.microsoft.com/office/drawing/2014/main" id="{051FBC82-E067-4304-AF30-3A5AA4CCABED}"/>
            </a:ext>
          </a:extLst>
        </xdr:cNvPr>
        <xdr:cNvSpPr/>
      </xdr:nvSpPr>
      <xdr:spPr>
        <a:xfrm>
          <a:off x="20447000" y="2667000"/>
          <a:ext cx="1505798" cy="298238"/>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t>Gap Calculation</a:t>
          </a:r>
        </a:p>
      </xdr:txBody>
    </xdr:sp>
    <xdr:clientData/>
  </xdr:twoCellAnchor>
  <xdr:twoCellAnchor>
    <xdr:from>
      <xdr:col>0</xdr:col>
      <xdr:colOff>618695</xdr:colOff>
      <xdr:row>12</xdr:row>
      <xdr:rowOff>0</xdr:rowOff>
    </xdr:from>
    <xdr:to>
      <xdr:col>2</xdr:col>
      <xdr:colOff>560698</xdr:colOff>
      <xdr:row>13</xdr:row>
      <xdr:rowOff>74929</xdr:rowOff>
    </xdr:to>
    <xdr:sp macro="" textlink="">
      <xdr:nvSpPr>
        <xdr:cNvPr id="11" name="Flowchart: Document 10">
          <a:extLst>
            <a:ext uri="{FF2B5EF4-FFF2-40B4-BE49-F238E27FC236}">
              <a16:creationId xmlns:a16="http://schemas.microsoft.com/office/drawing/2014/main" id="{67CB8014-B914-4C74-BC06-3C95AE355362}"/>
            </a:ext>
          </a:extLst>
        </xdr:cNvPr>
        <xdr:cNvSpPr/>
      </xdr:nvSpPr>
      <xdr:spPr>
        <a:xfrm>
          <a:off x="618695" y="1979083"/>
          <a:ext cx="1645920" cy="307763"/>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t>Input Assumptions</a:t>
          </a:r>
        </a:p>
      </xdr:txBody>
    </xdr:sp>
    <xdr:clientData/>
  </xdr:twoCellAnchor>
  <xdr:twoCellAnchor>
    <xdr:from>
      <xdr:col>4</xdr:col>
      <xdr:colOff>77562</xdr:colOff>
      <xdr:row>16</xdr:row>
      <xdr:rowOff>21228</xdr:rowOff>
    </xdr:from>
    <xdr:to>
      <xdr:col>4</xdr:col>
      <xdr:colOff>2459083</xdr:colOff>
      <xdr:row>17</xdr:row>
      <xdr:rowOff>176998</xdr:rowOff>
    </xdr:to>
    <xdr:sp macro="[0]!RunItCalcFinFromGapCalc" textlink="">
      <xdr:nvSpPr>
        <xdr:cNvPr id="4" name="Rounded Rectangle 15">
          <a:extLst>
            <a:ext uri="{FF2B5EF4-FFF2-40B4-BE49-F238E27FC236}">
              <a16:creationId xmlns:a16="http://schemas.microsoft.com/office/drawing/2014/main" id="{46915032-CCE9-46A0-A53F-2E3732F5BB33}"/>
            </a:ext>
          </a:extLst>
        </xdr:cNvPr>
        <xdr:cNvSpPr/>
      </xdr:nvSpPr>
      <xdr:spPr>
        <a:xfrm>
          <a:off x="7847241" y="3137264"/>
          <a:ext cx="2381521" cy="33266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a:t>Iterate Macro</a:t>
          </a:r>
        </a:p>
      </xdr:txBody>
    </xdr:sp>
    <xdr:clientData/>
  </xdr:twoCellAnchor>
  <xdr:twoCellAnchor>
    <xdr:from>
      <xdr:col>6</xdr:col>
      <xdr:colOff>1342480</xdr:colOff>
      <xdr:row>37</xdr:row>
      <xdr:rowOff>0</xdr:rowOff>
    </xdr:from>
    <xdr:to>
      <xdr:col>8</xdr:col>
      <xdr:colOff>313145</xdr:colOff>
      <xdr:row>38</xdr:row>
      <xdr:rowOff>37676</xdr:rowOff>
    </xdr:to>
    <xdr:sp macro="" textlink="">
      <xdr:nvSpPr>
        <xdr:cNvPr id="10" name="Flowchart: Document 5">
          <a:extLst>
            <a:ext uri="{FF2B5EF4-FFF2-40B4-BE49-F238E27FC236}">
              <a16:creationId xmlns:a16="http://schemas.microsoft.com/office/drawing/2014/main" id="{B3DB39FD-30C1-4D05-86A9-3C2BB7731FEA}"/>
            </a:ext>
          </a:extLst>
        </xdr:cNvPr>
        <xdr:cNvSpPr/>
      </xdr:nvSpPr>
      <xdr:spPr>
        <a:xfrm>
          <a:off x="12513944" y="7252607"/>
          <a:ext cx="1746522" cy="268998"/>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400" b="1"/>
            <a:t>Benefits</a:t>
          </a:r>
        </a:p>
      </xdr:txBody>
    </xdr:sp>
    <xdr:clientData/>
  </xdr:twoCellAnchor>
  <xdr:twoCellAnchor>
    <xdr:from>
      <xdr:col>5</xdr:col>
      <xdr:colOff>64227</xdr:colOff>
      <xdr:row>29</xdr:row>
      <xdr:rowOff>62048</xdr:rowOff>
    </xdr:from>
    <xdr:to>
      <xdr:col>5</xdr:col>
      <xdr:colOff>1290775</xdr:colOff>
      <xdr:row>39</xdr:row>
      <xdr:rowOff>161381</xdr:rowOff>
    </xdr:to>
    <xdr:sp macro="" textlink="">
      <xdr:nvSpPr>
        <xdr:cNvPr id="3" name="TextBox 2">
          <a:extLst>
            <a:ext uri="{FF2B5EF4-FFF2-40B4-BE49-F238E27FC236}">
              <a16:creationId xmlns:a16="http://schemas.microsoft.com/office/drawing/2014/main" id="{A5C0ABE5-1D4C-4159-9821-23DE0491EF04}"/>
            </a:ext>
          </a:extLst>
        </xdr:cNvPr>
        <xdr:cNvSpPr txBox="1"/>
      </xdr:nvSpPr>
      <xdr:spPr>
        <a:xfrm>
          <a:off x="9806941" y="5845084"/>
          <a:ext cx="1226548" cy="1977118"/>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rgbClr val="7030A0"/>
              </a:solidFill>
            </a:rPr>
            <a:t>The</a:t>
          </a:r>
          <a:r>
            <a:rPr lang="en-US" sz="1200" baseline="0">
              <a:solidFill>
                <a:srgbClr val="7030A0"/>
              </a:solidFill>
            </a:rPr>
            <a:t> ESS parameters are are locked in the model. Changing these values will not impact the results in the model.</a:t>
          </a:r>
          <a:endParaRPr lang="en-US" sz="1200">
            <a:solidFill>
              <a:srgbClr val="7030A0"/>
            </a:solidFill>
          </a:endParaRPr>
        </a:p>
      </xdr:txBody>
    </xdr:sp>
    <xdr:clientData/>
  </xdr:twoCellAnchor>
  <xdr:twoCellAnchor>
    <xdr:from>
      <xdr:col>5</xdr:col>
      <xdr:colOff>50620</xdr:colOff>
      <xdr:row>40</xdr:row>
      <xdr:rowOff>69940</xdr:rowOff>
    </xdr:from>
    <xdr:to>
      <xdr:col>5</xdr:col>
      <xdr:colOff>1275263</xdr:colOff>
      <xdr:row>51</xdr:row>
      <xdr:rowOff>116477</xdr:rowOff>
    </xdr:to>
    <xdr:sp macro="" textlink="">
      <xdr:nvSpPr>
        <xdr:cNvPr id="9" name="TextBox 4">
          <a:extLst>
            <a:ext uri="{FF2B5EF4-FFF2-40B4-BE49-F238E27FC236}">
              <a16:creationId xmlns:a16="http://schemas.microsoft.com/office/drawing/2014/main" id="{7BFFF29F-C774-4CB5-AE6A-8257BD9ED181}"/>
            </a:ext>
          </a:extLst>
        </xdr:cNvPr>
        <xdr:cNvSpPr txBox="1"/>
      </xdr:nvSpPr>
      <xdr:spPr>
        <a:xfrm>
          <a:off x="9793334" y="7934869"/>
          <a:ext cx="1224643" cy="1992358"/>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rgbClr val="7030A0"/>
              </a:solidFill>
            </a:rPr>
            <a:t>Changes to CapEx</a:t>
          </a:r>
          <a:r>
            <a:rPr lang="en-US" sz="1200" baseline="0">
              <a:solidFill>
                <a:srgbClr val="7030A0"/>
              </a:solidFill>
            </a:rPr>
            <a:t> and OpEx should be made in the </a:t>
          </a:r>
          <a:r>
            <a:rPr lang="en-US" sz="1200" b="1" baseline="0">
              <a:solidFill>
                <a:srgbClr val="7030A0"/>
              </a:solidFill>
            </a:rPr>
            <a:t>Inputs </a:t>
          </a:r>
          <a:r>
            <a:rPr lang="en-US" sz="1200" b="0" baseline="0">
              <a:solidFill>
                <a:srgbClr val="7030A0"/>
              </a:solidFill>
            </a:rPr>
            <a:t>tab.</a:t>
          </a:r>
          <a:endParaRPr lang="en-US" sz="1200">
            <a:solidFill>
              <a:srgbClr val="7030A0"/>
            </a:solidFill>
          </a:endParaRPr>
        </a:p>
      </xdr:txBody>
    </xdr:sp>
    <xdr:clientData/>
  </xdr:twoCellAnchor>
  <xdr:twoCellAnchor>
    <xdr:from>
      <xdr:col>5</xdr:col>
      <xdr:colOff>91441</xdr:colOff>
      <xdr:row>57</xdr:row>
      <xdr:rowOff>71846</xdr:rowOff>
    </xdr:from>
    <xdr:to>
      <xdr:col>5</xdr:col>
      <xdr:colOff>1317989</xdr:colOff>
      <xdr:row>68</xdr:row>
      <xdr:rowOff>116477</xdr:rowOff>
    </xdr:to>
    <xdr:sp macro="" textlink="">
      <xdr:nvSpPr>
        <xdr:cNvPr id="6" name="TextBox 5">
          <a:extLst>
            <a:ext uri="{FF2B5EF4-FFF2-40B4-BE49-F238E27FC236}">
              <a16:creationId xmlns:a16="http://schemas.microsoft.com/office/drawing/2014/main" id="{1ED62601-398F-47AF-9D2D-3DC9F62E7D96}"/>
            </a:ext>
          </a:extLst>
        </xdr:cNvPr>
        <xdr:cNvSpPr txBox="1"/>
      </xdr:nvSpPr>
      <xdr:spPr>
        <a:xfrm>
          <a:off x="9834155" y="10943953"/>
          <a:ext cx="1226548" cy="1990453"/>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rgbClr val="7030A0"/>
              </a:solidFill>
            </a:rPr>
            <a:t>Changes to financial</a:t>
          </a:r>
          <a:r>
            <a:rPr lang="en-US" sz="1200" baseline="0">
              <a:solidFill>
                <a:srgbClr val="7030A0"/>
              </a:solidFill>
            </a:rPr>
            <a:t> assumptions should be made in the </a:t>
          </a:r>
          <a:r>
            <a:rPr lang="en-US" sz="1200" b="1" baseline="0">
              <a:solidFill>
                <a:srgbClr val="7030A0"/>
              </a:solidFill>
            </a:rPr>
            <a:t>Inputs </a:t>
          </a:r>
          <a:r>
            <a:rPr lang="en-US" sz="1200" b="0" baseline="0">
              <a:solidFill>
                <a:srgbClr val="7030A0"/>
              </a:solidFill>
            </a:rPr>
            <a:t>tab.</a:t>
          </a:r>
          <a:endParaRPr lang="en-US" sz="1200">
            <a:solidFill>
              <a:srgbClr val="7030A0"/>
            </a:solidFill>
          </a:endParaRPr>
        </a:p>
      </xdr:txBody>
    </xdr:sp>
    <xdr:clientData/>
  </xdr:twoCellAnchor>
  <xdr:twoCellAnchor>
    <xdr:from>
      <xdr:col>5</xdr:col>
      <xdr:colOff>85455</xdr:colOff>
      <xdr:row>14</xdr:row>
      <xdr:rowOff>96883</xdr:rowOff>
    </xdr:from>
    <xdr:to>
      <xdr:col>5</xdr:col>
      <xdr:colOff>1304383</xdr:colOff>
      <xdr:row>21</xdr:row>
      <xdr:rowOff>95250</xdr:rowOff>
    </xdr:to>
    <xdr:sp macro="" textlink="">
      <xdr:nvSpPr>
        <xdr:cNvPr id="8" name="TextBox 7">
          <a:extLst>
            <a:ext uri="{FF2B5EF4-FFF2-40B4-BE49-F238E27FC236}">
              <a16:creationId xmlns:a16="http://schemas.microsoft.com/office/drawing/2014/main" id="{A4E8CAA7-C597-49B6-A6DD-A633E59534C6}"/>
            </a:ext>
          </a:extLst>
        </xdr:cNvPr>
        <xdr:cNvSpPr txBox="1"/>
      </xdr:nvSpPr>
      <xdr:spPr>
        <a:xfrm>
          <a:off x="9839055" y="2792458"/>
          <a:ext cx="1218928" cy="1465217"/>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200">
              <a:solidFill>
                <a:srgbClr val="7030A0"/>
              </a:solidFill>
            </a:rPr>
            <a:t>Use this Cell to change the case and press "Iterate Macro" button.</a:t>
          </a:r>
          <a:r>
            <a:rPr lang="en-US" sz="1200" baseline="0">
              <a:solidFill>
                <a:srgbClr val="7030A0"/>
              </a:solidFill>
            </a:rPr>
            <a:t> </a:t>
          </a:r>
          <a:endParaRPr lang="en-US" sz="1200">
            <a:solidFill>
              <a:srgbClr val="7030A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421823</xdr:colOff>
      <xdr:row>3</xdr:row>
      <xdr:rowOff>0</xdr:rowOff>
    </xdr:from>
    <xdr:to>
      <xdr:col>20</xdr:col>
      <xdr:colOff>231323</xdr:colOff>
      <xdr:row>29</xdr:row>
      <xdr:rowOff>149678</xdr:rowOff>
    </xdr:to>
    <xdr:graphicFrame macro="">
      <xdr:nvGraphicFramePr>
        <xdr:cNvPr id="3" name="Chart 4">
          <a:extLst>
            <a:ext uri="{FF2B5EF4-FFF2-40B4-BE49-F238E27FC236}">
              <a16:creationId xmlns:a16="http://schemas.microsoft.com/office/drawing/2014/main" id="{C0320AED-D851-39CA-F424-FB171B768B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439239</xdr:colOff>
      <xdr:row>32</xdr:row>
      <xdr:rowOff>7015</xdr:rowOff>
    </xdr:from>
    <xdr:to>
      <xdr:col>20</xdr:col>
      <xdr:colOff>231322</xdr:colOff>
      <xdr:row>63</xdr:row>
      <xdr:rowOff>60415</xdr:rowOff>
    </xdr:to>
    <xdr:graphicFrame macro="">
      <xdr:nvGraphicFramePr>
        <xdr:cNvPr id="4" name="Cost vs Benefits">
          <a:extLst>
            <a:ext uri="{FF2B5EF4-FFF2-40B4-BE49-F238E27FC236}">
              <a16:creationId xmlns:a16="http://schemas.microsoft.com/office/drawing/2014/main" id="{5822A9FC-E8E0-F6EC-BD28-AB7270B41C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135526</xdr:colOff>
      <xdr:row>5</xdr:row>
      <xdr:rowOff>243024</xdr:rowOff>
    </xdr:from>
    <xdr:to>
      <xdr:col>3</xdr:col>
      <xdr:colOff>3810</xdr:colOff>
      <xdr:row>20</xdr:row>
      <xdr:rowOff>120558</xdr:rowOff>
    </xdr:to>
    <xdr:sp macro="" textlink="">
      <xdr:nvSpPr>
        <xdr:cNvPr id="4" name="TextBox 1">
          <a:extLst>
            <a:ext uri="{FF2B5EF4-FFF2-40B4-BE49-F238E27FC236}">
              <a16:creationId xmlns:a16="http://schemas.microsoft.com/office/drawing/2014/main" id="{643EB257-2024-B425-240E-4DE0F9D729A5}"/>
            </a:ext>
          </a:extLst>
        </xdr:cNvPr>
        <xdr:cNvSpPr txBox="1"/>
      </xdr:nvSpPr>
      <xdr:spPr>
        <a:xfrm>
          <a:off x="135526" y="1263560"/>
          <a:ext cx="2059034" cy="26261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Please note: all</a:t>
          </a:r>
          <a:r>
            <a:rPr lang="en-US" sz="1400" baseline="0">
              <a:solidFill>
                <a:srgbClr val="7030A0"/>
              </a:solidFill>
            </a:rPr>
            <a:t> benefits values that are in blue are direct inputs from CES's CoMETS optimization platform. These values should </a:t>
          </a:r>
          <a:r>
            <a:rPr lang="en-US" sz="1400" b="1" baseline="0">
              <a:solidFill>
                <a:srgbClr val="7030A0"/>
              </a:solidFill>
            </a:rPr>
            <a:t>not</a:t>
          </a:r>
          <a:r>
            <a:rPr lang="en-US" sz="1400" b="0" baseline="0">
              <a:solidFill>
                <a:srgbClr val="7030A0"/>
              </a:solidFill>
            </a:rPr>
            <a:t> be edited here directly. </a:t>
          </a:r>
          <a:endParaRPr lang="en-US" sz="1400">
            <a:solidFill>
              <a:srgbClr val="7030A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21</xdr:col>
      <xdr:colOff>857250</xdr:colOff>
      <xdr:row>26</xdr:row>
      <xdr:rowOff>142875</xdr:rowOff>
    </xdr:from>
    <xdr:to>
      <xdr:col>27</xdr:col>
      <xdr:colOff>490062</xdr:colOff>
      <xdr:row>31</xdr:row>
      <xdr:rowOff>117632</xdr:rowOff>
    </xdr:to>
    <xdr:sp macro="" textlink="">
      <xdr:nvSpPr>
        <xdr:cNvPr id="2" name="TextBox 1">
          <a:extLst>
            <a:ext uri="{FF2B5EF4-FFF2-40B4-BE49-F238E27FC236}">
              <a16:creationId xmlns:a16="http://schemas.microsoft.com/office/drawing/2014/main" id="{F59F8D9E-A829-4000-86F0-F411E376537C}"/>
            </a:ext>
          </a:extLst>
        </xdr:cNvPr>
        <xdr:cNvSpPr txBox="1"/>
      </xdr:nvSpPr>
      <xdr:spPr>
        <a:xfrm>
          <a:off x="31861125" y="4464844"/>
          <a:ext cx="7240906" cy="867726"/>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The</a:t>
          </a:r>
          <a:r>
            <a:rPr lang="en-US" sz="1400" baseline="0">
              <a:solidFill>
                <a:srgbClr val="7030A0"/>
              </a:solidFill>
            </a:rPr>
            <a:t> ESS parameters are shown for reference. Changing these values will not impact the results in the model.</a:t>
          </a:r>
          <a:endParaRPr lang="en-US" sz="1400">
            <a:solidFill>
              <a:srgbClr val="7030A0"/>
            </a:solidFill>
          </a:endParaRPr>
        </a:p>
      </xdr:txBody>
    </xdr:sp>
    <xdr:clientData/>
  </xdr:twoCellAnchor>
  <xdr:twoCellAnchor>
    <xdr:from>
      <xdr:col>21</xdr:col>
      <xdr:colOff>857250</xdr:colOff>
      <xdr:row>26</xdr:row>
      <xdr:rowOff>142875</xdr:rowOff>
    </xdr:from>
    <xdr:to>
      <xdr:col>27</xdr:col>
      <xdr:colOff>491967</xdr:colOff>
      <xdr:row>31</xdr:row>
      <xdr:rowOff>119537</xdr:rowOff>
    </xdr:to>
    <xdr:sp macro="" textlink="">
      <xdr:nvSpPr>
        <xdr:cNvPr id="3" name="TextBox 2">
          <a:extLst>
            <a:ext uri="{FF2B5EF4-FFF2-40B4-BE49-F238E27FC236}">
              <a16:creationId xmlns:a16="http://schemas.microsoft.com/office/drawing/2014/main" id="{91E9ECEC-AAEC-4DE3-BB54-CCC73917923C}"/>
            </a:ext>
          </a:extLst>
        </xdr:cNvPr>
        <xdr:cNvSpPr txBox="1"/>
      </xdr:nvSpPr>
      <xdr:spPr>
        <a:xfrm>
          <a:off x="31861125" y="4464844"/>
          <a:ext cx="7242811" cy="86963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The</a:t>
          </a:r>
          <a:r>
            <a:rPr lang="en-US" sz="1400" baseline="0">
              <a:solidFill>
                <a:srgbClr val="7030A0"/>
              </a:solidFill>
            </a:rPr>
            <a:t> ESS parameters are are locked in the model. Changing these values will not impact the results in the model.</a:t>
          </a:r>
          <a:endParaRPr lang="en-US" sz="1400">
            <a:solidFill>
              <a:srgbClr val="7030A0"/>
            </a:solidFill>
          </a:endParaRPr>
        </a:p>
      </xdr:txBody>
    </xdr:sp>
    <xdr:clientData/>
  </xdr:twoCellAnchor>
  <xdr:twoCellAnchor>
    <xdr:from>
      <xdr:col>15</xdr:col>
      <xdr:colOff>353377</xdr:colOff>
      <xdr:row>27</xdr:row>
      <xdr:rowOff>16194</xdr:rowOff>
    </xdr:from>
    <xdr:to>
      <xdr:col>17</xdr:col>
      <xdr:colOff>2008347</xdr:colOff>
      <xdr:row>32</xdr:row>
      <xdr:rowOff>477</xdr:rowOff>
    </xdr:to>
    <xdr:sp macro="" textlink="">
      <xdr:nvSpPr>
        <xdr:cNvPr id="4" name="TextBox 3">
          <a:extLst>
            <a:ext uri="{FF2B5EF4-FFF2-40B4-BE49-F238E27FC236}">
              <a16:creationId xmlns:a16="http://schemas.microsoft.com/office/drawing/2014/main" id="{BCDCC20C-29F5-4019-9B1C-075D3DE1C363}"/>
            </a:ext>
          </a:extLst>
        </xdr:cNvPr>
        <xdr:cNvSpPr txBox="1"/>
      </xdr:nvSpPr>
      <xdr:spPr>
        <a:xfrm>
          <a:off x="22189440" y="4516757"/>
          <a:ext cx="4024313" cy="87725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The</a:t>
          </a:r>
          <a:r>
            <a:rPr lang="en-US" sz="1400" baseline="0">
              <a:solidFill>
                <a:srgbClr val="7030A0"/>
              </a:solidFill>
            </a:rPr>
            <a:t> RE parameters are shown for reference. Changing these values will not impact the results in the model.</a:t>
          </a:r>
          <a:endParaRPr lang="en-US" sz="1400">
            <a:solidFill>
              <a:srgbClr val="7030A0"/>
            </a:solidFill>
          </a:endParaRPr>
        </a:p>
      </xdr:txBody>
    </xdr:sp>
    <xdr:clientData/>
  </xdr:twoCellAnchor>
  <xdr:twoCellAnchor>
    <xdr:from>
      <xdr:col>38</xdr:col>
      <xdr:colOff>1809751</xdr:colOff>
      <xdr:row>28</xdr:row>
      <xdr:rowOff>154782</xdr:rowOff>
    </xdr:from>
    <xdr:to>
      <xdr:col>43</xdr:col>
      <xdr:colOff>552928</xdr:colOff>
      <xdr:row>33</xdr:row>
      <xdr:rowOff>78104</xdr:rowOff>
    </xdr:to>
    <xdr:sp macro="" textlink="">
      <xdr:nvSpPr>
        <xdr:cNvPr id="5" name="TextBox 2">
          <a:extLst>
            <a:ext uri="{FF2B5EF4-FFF2-40B4-BE49-F238E27FC236}">
              <a16:creationId xmlns:a16="http://schemas.microsoft.com/office/drawing/2014/main" id="{B5184B72-44A9-4BA8-B337-9E2859527187}"/>
            </a:ext>
          </a:extLst>
        </xdr:cNvPr>
        <xdr:cNvSpPr txBox="1"/>
      </xdr:nvSpPr>
      <xdr:spPr>
        <a:xfrm>
          <a:off x="56685657" y="4833938"/>
          <a:ext cx="7291865" cy="81629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Total</a:t>
          </a:r>
          <a:r>
            <a:rPr lang="en-US" sz="1400" baseline="0">
              <a:solidFill>
                <a:srgbClr val="7030A0"/>
              </a:solidFill>
            </a:rPr>
            <a:t> Installed Cost can be modified in the model and it </a:t>
          </a:r>
          <a:r>
            <a:rPr lang="en-US" sz="1400" b="1" baseline="0">
              <a:solidFill>
                <a:srgbClr val="7030A0"/>
              </a:solidFill>
            </a:rPr>
            <a:t>will </a:t>
          </a:r>
          <a:r>
            <a:rPr lang="en-US" sz="1400" b="0" baseline="0">
              <a:solidFill>
                <a:srgbClr val="7030A0"/>
              </a:solidFill>
            </a:rPr>
            <a:t>impact gap results. </a:t>
          </a:r>
          <a:r>
            <a:rPr lang="en-US" sz="1400" baseline="0">
              <a:solidFill>
                <a:srgbClr val="7030A0"/>
              </a:solidFill>
            </a:rPr>
            <a:t> </a:t>
          </a:r>
          <a:endParaRPr lang="en-US" sz="1400">
            <a:solidFill>
              <a:srgbClr val="7030A0"/>
            </a:solidFill>
          </a:endParaRPr>
        </a:p>
      </xdr:txBody>
    </xdr:sp>
    <xdr:clientData/>
  </xdr:twoCellAnchor>
  <xdr:twoCellAnchor>
    <xdr:from>
      <xdr:col>48</xdr:col>
      <xdr:colOff>154782</xdr:colOff>
      <xdr:row>28</xdr:row>
      <xdr:rowOff>119063</xdr:rowOff>
    </xdr:from>
    <xdr:to>
      <xdr:col>52</xdr:col>
      <xdr:colOff>410053</xdr:colOff>
      <xdr:row>33</xdr:row>
      <xdr:rowOff>42385</xdr:rowOff>
    </xdr:to>
    <xdr:sp macro="" textlink="">
      <xdr:nvSpPr>
        <xdr:cNvPr id="6" name="TextBox 2">
          <a:extLst>
            <a:ext uri="{FF2B5EF4-FFF2-40B4-BE49-F238E27FC236}">
              <a16:creationId xmlns:a16="http://schemas.microsoft.com/office/drawing/2014/main" id="{6E11324C-8204-4EC6-BEE4-A698CE8A09B9}"/>
            </a:ext>
          </a:extLst>
        </xdr:cNvPr>
        <xdr:cNvSpPr txBox="1"/>
      </xdr:nvSpPr>
      <xdr:spPr>
        <a:xfrm>
          <a:off x="69103876" y="4798219"/>
          <a:ext cx="7291865" cy="81629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OpEx</a:t>
          </a:r>
          <a:r>
            <a:rPr lang="en-US" sz="1400" baseline="0">
              <a:solidFill>
                <a:srgbClr val="7030A0"/>
              </a:solidFill>
            </a:rPr>
            <a:t> can be modified in the model and it </a:t>
          </a:r>
          <a:r>
            <a:rPr lang="en-US" sz="1400" b="1" baseline="0">
              <a:solidFill>
                <a:srgbClr val="7030A0"/>
              </a:solidFill>
            </a:rPr>
            <a:t>will </a:t>
          </a:r>
          <a:r>
            <a:rPr lang="en-US" sz="1400" b="0" baseline="0">
              <a:solidFill>
                <a:srgbClr val="7030A0"/>
              </a:solidFill>
            </a:rPr>
            <a:t>impact gap results. </a:t>
          </a:r>
          <a:r>
            <a:rPr lang="en-US" sz="1400" baseline="0">
              <a:solidFill>
                <a:srgbClr val="7030A0"/>
              </a:solidFill>
            </a:rPr>
            <a:t> </a:t>
          </a:r>
          <a:endParaRPr lang="en-US" sz="1400">
            <a:solidFill>
              <a:srgbClr val="7030A0"/>
            </a:solidFill>
          </a:endParaRPr>
        </a:p>
      </xdr:txBody>
    </xdr:sp>
    <xdr:clientData/>
  </xdr:twoCellAnchor>
  <xdr:twoCellAnchor>
    <xdr:from>
      <xdr:col>48</xdr:col>
      <xdr:colOff>154782</xdr:colOff>
      <xdr:row>28</xdr:row>
      <xdr:rowOff>119063</xdr:rowOff>
    </xdr:from>
    <xdr:to>
      <xdr:col>52</xdr:col>
      <xdr:colOff>406243</xdr:colOff>
      <xdr:row>33</xdr:row>
      <xdr:rowOff>44290</xdr:rowOff>
    </xdr:to>
    <xdr:sp macro="" textlink="">
      <xdr:nvSpPr>
        <xdr:cNvPr id="7" name="TextBox 2">
          <a:extLst>
            <a:ext uri="{FF2B5EF4-FFF2-40B4-BE49-F238E27FC236}">
              <a16:creationId xmlns:a16="http://schemas.microsoft.com/office/drawing/2014/main" id="{181EB6EA-9F53-40ED-AAC1-B0E40A7F717B}"/>
            </a:ext>
          </a:extLst>
        </xdr:cNvPr>
        <xdr:cNvSpPr txBox="1"/>
      </xdr:nvSpPr>
      <xdr:spPr>
        <a:xfrm>
          <a:off x="69103876" y="4798219"/>
          <a:ext cx="7288055" cy="818196"/>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Total</a:t>
          </a:r>
          <a:r>
            <a:rPr lang="en-US" sz="1400" baseline="0">
              <a:solidFill>
                <a:srgbClr val="7030A0"/>
              </a:solidFill>
            </a:rPr>
            <a:t> Installed Cost can be modified in the model and it </a:t>
          </a:r>
          <a:r>
            <a:rPr lang="en-US" sz="1400" b="1" baseline="0">
              <a:solidFill>
                <a:srgbClr val="7030A0"/>
              </a:solidFill>
            </a:rPr>
            <a:t>will </a:t>
          </a:r>
          <a:r>
            <a:rPr lang="en-US" sz="1400" b="0" baseline="0">
              <a:solidFill>
                <a:srgbClr val="7030A0"/>
              </a:solidFill>
            </a:rPr>
            <a:t>impact gap results. </a:t>
          </a:r>
          <a:r>
            <a:rPr lang="en-US" sz="1400" baseline="0">
              <a:solidFill>
                <a:srgbClr val="7030A0"/>
              </a:solidFill>
            </a:rPr>
            <a:t> </a:t>
          </a:r>
          <a:endParaRPr lang="en-US" sz="1400">
            <a:solidFill>
              <a:srgbClr val="7030A0"/>
            </a:solidFill>
          </a:endParaRPr>
        </a:p>
      </xdr:txBody>
    </xdr:sp>
    <xdr:clientData/>
  </xdr:twoCellAnchor>
  <xdr:twoCellAnchor>
    <xdr:from>
      <xdr:col>56</xdr:col>
      <xdr:colOff>571499</xdr:colOff>
      <xdr:row>27</xdr:row>
      <xdr:rowOff>154780</xdr:rowOff>
    </xdr:from>
    <xdr:to>
      <xdr:col>62</xdr:col>
      <xdr:colOff>616744</xdr:colOff>
      <xdr:row>32</xdr:row>
      <xdr:rowOff>78103</xdr:rowOff>
    </xdr:to>
    <xdr:sp macro="" textlink="">
      <xdr:nvSpPr>
        <xdr:cNvPr id="8" name="TextBox 2">
          <a:extLst>
            <a:ext uri="{FF2B5EF4-FFF2-40B4-BE49-F238E27FC236}">
              <a16:creationId xmlns:a16="http://schemas.microsoft.com/office/drawing/2014/main" id="{1A85EC41-9356-4568-A68D-E71180A72543}"/>
            </a:ext>
          </a:extLst>
        </xdr:cNvPr>
        <xdr:cNvSpPr txBox="1"/>
      </xdr:nvSpPr>
      <xdr:spPr>
        <a:xfrm>
          <a:off x="79950468" y="4655343"/>
          <a:ext cx="7284245" cy="81629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Capital Structure</a:t>
          </a:r>
          <a:r>
            <a:rPr lang="en-US" sz="1400" baseline="0">
              <a:solidFill>
                <a:srgbClr val="7030A0"/>
              </a:solidFill>
            </a:rPr>
            <a:t> can be modified in the model and it </a:t>
          </a:r>
          <a:r>
            <a:rPr lang="en-US" sz="1400" b="1" baseline="0">
              <a:solidFill>
                <a:srgbClr val="7030A0"/>
              </a:solidFill>
            </a:rPr>
            <a:t>will </a:t>
          </a:r>
          <a:r>
            <a:rPr lang="en-US" sz="1400" b="0" baseline="0">
              <a:solidFill>
                <a:srgbClr val="7030A0"/>
              </a:solidFill>
            </a:rPr>
            <a:t>impact gap results. </a:t>
          </a:r>
          <a:r>
            <a:rPr lang="en-US" sz="1400" baseline="0">
              <a:solidFill>
                <a:srgbClr val="7030A0"/>
              </a:solidFill>
            </a:rPr>
            <a:t> </a:t>
          </a:r>
          <a:endParaRPr lang="en-US" sz="1400">
            <a:solidFill>
              <a:srgbClr val="7030A0"/>
            </a:solidFill>
          </a:endParaRPr>
        </a:p>
      </xdr:txBody>
    </xdr:sp>
    <xdr:clientData/>
  </xdr:twoCellAnchor>
  <xdr:twoCellAnchor>
    <xdr:from>
      <xdr:col>67</xdr:col>
      <xdr:colOff>188118</xdr:colOff>
      <xdr:row>28</xdr:row>
      <xdr:rowOff>1429</xdr:rowOff>
    </xdr:from>
    <xdr:to>
      <xdr:col>72</xdr:col>
      <xdr:colOff>796767</xdr:colOff>
      <xdr:row>32</xdr:row>
      <xdr:rowOff>103345</xdr:rowOff>
    </xdr:to>
    <xdr:sp macro="" textlink="">
      <xdr:nvSpPr>
        <xdr:cNvPr id="9" name="TextBox 2">
          <a:extLst>
            <a:ext uri="{FF2B5EF4-FFF2-40B4-BE49-F238E27FC236}">
              <a16:creationId xmlns:a16="http://schemas.microsoft.com/office/drawing/2014/main" id="{538B0A0A-A898-4A20-B123-4D8760CFA09D}"/>
            </a:ext>
          </a:extLst>
        </xdr:cNvPr>
        <xdr:cNvSpPr txBox="1"/>
      </xdr:nvSpPr>
      <xdr:spPr>
        <a:xfrm>
          <a:off x="91723368" y="4680585"/>
          <a:ext cx="7288055" cy="81629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Deprecitation</a:t>
          </a:r>
          <a:r>
            <a:rPr lang="en-US" sz="1400" baseline="0">
              <a:solidFill>
                <a:srgbClr val="7030A0"/>
              </a:solidFill>
            </a:rPr>
            <a:t> and ITC values can be changed in the model and it </a:t>
          </a:r>
          <a:r>
            <a:rPr lang="en-US" sz="1400" b="1" baseline="0">
              <a:solidFill>
                <a:srgbClr val="7030A0"/>
              </a:solidFill>
            </a:rPr>
            <a:t>will </a:t>
          </a:r>
          <a:r>
            <a:rPr lang="en-US" sz="1400" b="0" baseline="0">
              <a:solidFill>
                <a:srgbClr val="7030A0"/>
              </a:solidFill>
            </a:rPr>
            <a:t>impact modeling results. </a:t>
          </a:r>
          <a:endParaRPr lang="en-US" sz="1400">
            <a:solidFill>
              <a:srgbClr val="7030A0"/>
            </a:solidFill>
          </a:endParaRPr>
        </a:p>
      </xdr:txBody>
    </xdr:sp>
    <xdr:clientData/>
  </xdr:twoCellAnchor>
  <xdr:twoCellAnchor>
    <xdr:from>
      <xdr:col>73</xdr:col>
      <xdr:colOff>722471</xdr:colOff>
      <xdr:row>28</xdr:row>
      <xdr:rowOff>37147</xdr:rowOff>
    </xdr:from>
    <xdr:to>
      <xdr:col>73</xdr:col>
      <xdr:colOff>3241357</xdr:colOff>
      <xdr:row>32</xdr:row>
      <xdr:rowOff>144778</xdr:rowOff>
    </xdr:to>
    <xdr:sp macro="" textlink="">
      <xdr:nvSpPr>
        <xdr:cNvPr id="10" name="TextBox 2">
          <a:extLst>
            <a:ext uri="{FF2B5EF4-FFF2-40B4-BE49-F238E27FC236}">
              <a16:creationId xmlns:a16="http://schemas.microsoft.com/office/drawing/2014/main" id="{61E94EF7-FED4-4407-8A92-7FC32DAA267B}"/>
            </a:ext>
          </a:extLst>
        </xdr:cNvPr>
        <xdr:cNvSpPr txBox="1"/>
      </xdr:nvSpPr>
      <xdr:spPr>
        <a:xfrm>
          <a:off x="100913565" y="4716303"/>
          <a:ext cx="2518886" cy="822006"/>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Avoided</a:t>
          </a:r>
          <a:r>
            <a:rPr lang="en-US" sz="1400" baseline="0">
              <a:solidFill>
                <a:srgbClr val="7030A0"/>
              </a:solidFill>
            </a:rPr>
            <a:t> Cost of Participant Backup Generator can be modified in the model and it </a:t>
          </a:r>
          <a:r>
            <a:rPr lang="en-US" sz="1400" b="1" baseline="0">
              <a:solidFill>
                <a:srgbClr val="7030A0"/>
              </a:solidFill>
            </a:rPr>
            <a:t>will </a:t>
          </a:r>
          <a:r>
            <a:rPr lang="en-US" sz="1400" b="0" baseline="0">
              <a:solidFill>
                <a:srgbClr val="7030A0"/>
              </a:solidFill>
            </a:rPr>
            <a:t>impact gap results. </a:t>
          </a:r>
          <a:r>
            <a:rPr lang="en-US" sz="1400" baseline="0">
              <a:solidFill>
                <a:srgbClr val="7030A0"/>
              </a:solidFill>
            </a:rPr>
            <a:t> </a:t>
          </a:r>
          <a:endParaRPr lang="en-US" sz="1400">
            <a:solidFill>
              <a:srgbClr val="7030A0"/>
            </a:solidFill>
          </a:endParaRPr>
        </a:p>
      </xdr:txBody>
    </xdr:sp>
    <xdr:clientData/>
  </xdr:twoCellAnchor>
  <xdr:twoCellAnchor>
    <xdr:from>
      <xdr:col>15</xdr:col>
      <xdr:colOff>353377</xdr:colOff>
      <xdr:row>27</xdr:row>
      <xdr:rowOff>16194</xdr:rowOff>
    </xdr:from>
    <xdr:to>
      <xdr:col>17</xdr:col>
      <xdr:colOff>2004537</xdr:colOff>
      <xdr:row>31</xdr:row>
      <xdr:rowOff>175260</xdr:rowOff>
    </xdr:to>
    <xdr:sp macro="" textlink="">
      <xdr:nvSpPr>
        <xdr:cNvPr id="11" name="TextBox 10">
          <a:extLst>
            <a:ext uri="{FF2B5EF4-FFF2-40B4-BE49-F238E27FC236}">
              <a16:creationId xmlns:a16="http://schemas.microsoft.com/office/drawing/2014/main" id="{5E54003D-BD29-4776-BDCC-6A43DDE0DE04}"/>
            </a:ext>
          </a:extLst>
        </xdr:cNvPr>
        <xdr:cNvSpPr txBox="1"/>
      </xdr:nvSpPr>
      <xdr:spPr>
        <a:xfrm>
          <a:off x="22189440" y="4516757"/>
          <a:ext cx="4020503" cy="873441"/>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The</a:t>
          </a:r>
          <a:r>
            <a:rPr lang="en-US" sz="1400" baseline="0">
              <a:solidFill>
                <a:srgbClr val="7030A0"/>
              </a:solidFill>
            </a:rPr>
            <a:t> RE parameters are shown for reference. Changing these values will not impact the results in the model.</a:t>
          </a:r>
          <a:endParaRPr lang="en-US" sz="1400">
            <a:solidFill>
              <a:srgbClr val="7030A0"/>
            </a:solidFill>
          </a:endParaRPr>
        </a:p>
      </xdr:txBody>
    </xdr:sp>
    <xdr:clientData/>
  </xdr:twoCellAnchor>
  <xdr:twoCellAnchor>
    <xdr:from>
      <xdr:col>7</xdr:col>
      <xdr:colOff>1404937</xdr:colOff>
      <xdr:row>27</xdr:row>
      <xdr:rowOff>142874</xdr:rowOff>
    </xdr:from>
    <xdr:to>
      <xdr:col>10</xdr:col>
      <xdr:colOff>629126</xdr:colOff>
      <xdr:row>32</xdr:row>
      <xdr:rowOff>125252</xdr:rowOff>
    </xdr:to>
    <xdr:sp macro="" textlink="">
      <xdr:nvSpPr>
        <xdr:cNvPr id="12" name="TextBox 11">
          <a:extLst>
            <a:ext uri="{FF2B5EF4-FFF2-40B4-BE49-F238E27FC236}">
              <a16:creationId xmlns:a16="http://schemas.microsoft.com/office/drawing/2014/main" id="{1879FBC5-1ECA-46D6-A8DC-BB2901ACF255}"/>
            </a:ext>
          </a:extLst>
        </xdr:cNvPr>
        <xdr:cNvSpPr txBox="1"/>
      </xdr:nvSpPr>
      <xdr:spPr>
        <a:xfrm>
          <a:off x="9775031" y="4643437"/>
          <a:ext cx="4022408" cy="875346"/>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Project</a:t>
          </a:r>
          <a:r>
            <a:rPr lang="en-US" sz="1400" baseline="0">
              <a:solidFill>
                <a:srgbClr val="7030A0"/>
              </a:solidFill>
            </a:rPr>
            <a:t> configurations are locked in the model and </a:t>
          </a:r>
          <a:r>
            <a:rPr lang="en-US" sz="1400" b="1" baseline="0">
              <a:solidFill>
                <a:srgbClr val="7030A0"/>
              </a:solidFill>
            </a:rPr>
            <a:t>cannot </a:t>
          </a:r>
          <a:r>
            <a:rPr lang="en-US" sz="1400" b="0" baseline="0">
              <a:solidFill>
                <a:srgbClr val="7030A0"/>
              </a:solidFill>
            </a:rPr>
            <a:t>be changed. </a:t>
          </a:r>
          <a:endParaRPr lang="en-US" sz="1400">
            <a:solidFill>
              <a:srgbClr val="7030A0"/>
            </a:solidFill>
          </a:endParaRPr>
        </a:p>
      </xdr:txBody>
    </xdr:sp>
    <xdr:clientData/>
  </xdr:twoCellAnchor>
  <xdr:twoCellAnchor>
    <xdr:from>
      <xdr:col>1</xdr:col>
      <xdr:colOff>428625</xdr:colOff>
      <xdr:row>4</xdr:row>
      <xdr:rowOff>95249</xdr:rowOff>
    </xdr:from>
    <xdr:to>
      <xdr:col>3</xdr:col>
      <xdr:colOff>1520190</xdr:colOff>
      <xdr:row>7</xdr:row>
      <xdr:rowOff>250029</xdr:rowOff>
    </xdr:to>
    <xdr:sp macro="" textlink="">
      <xdr:nvSpPr>
        <xdr:cNvPr id="13" name="TextBox 12">
          <a:extLst>
            <a:ext uri="{FF2B5EF4-FFF2-40B4-BE49-F238E27FC236}">
              <a16:creationId xmlns:a16="http://schemas.microsoft.com/office/drawing/2014/main" id="{483E3810-301F-4F49-9A94-0C1D2475BBF8}"/>
            </a:ext>
          </a:extLst>
        </xdr:cNvPr>
        <xdr:cNvSpPr txBox="1"/>
      </xdr:nvSpPr>
      <xdr:spPr>
        <a:xfrm>
          <a:off x="916781" y="273843"/>
          <a:ext cx="4020503" cy="892967"/>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User</a:t>
          </a:r>
          <a:r>
            <a:rPr lang="en-US" sz="1400" baseline="0">
              <a:solidFill>
                <a:srgbClr val="7030A0"/>
              </a:solidFill>
            </a:rPr>
            <a:t>s can edit project cost information (CapEx, OpEx) on this tab. </a:t>
          </a:r>
          <a:endParaRPr lang="en-US" sz="1400">
            <a:solidFill>
              <a:srgbClr val="7030A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166687</xdr:colOff>
      <xdr:row>30</xdr:row>
      <xdr:rowOff>11908</xdr:rowOff>
    </xdr:from>
    <xdr:to>
      <xdr:col>12</xdr:col>
      <xdr:colOff>492442</xdr:colOff>
      <xdr:row>34</xdr:row>
      <xdr:rowOff>111442</xdr:rowOff>
    </xdr:to>
    <xdr:sp macro="" textlink="">
      <xdr:nvSpPr>
        <xdr:cNvPr id="2" name="TextBox 1">
          <a:extLst>
            <a:ext uri="{FF2B5EF4-FFF2-40B4-BE49-F238E27FC236}">
              <a16:creationId xmlns:a16="http://schemas.microsoft.com/office/drawing/2014/main" id="{F5053DDD-0732-4706-81BF-CB8963D0CC17}"/>
            </a:ext>
          </a:extLst>
        </xdr:cNvPr>
        <xdr:cNvSpPr txBox="1"/>
      </xdr:nvSpPr>
      <xdr:spPr>
        <a:xfrm>
          <a:off x="7429500" y="5976939"/>
          <a:ext cx="4254817" cy="932972"/>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rgbClr val="7030A0"/>
              </a:solidFill>
            </a:rPr>
            <a:t>Capacity forecasts and ELCC Values</a:t>
          </a:r>
          <a:r>
            <a:rPr lang="en-US" sz="1400" baseline="0">
              <a:solidFill>
                <a:srgbClr val="7030A0"/>
              </a:solidFill>
            </a:rPr>
            <a:t> can be updated in the model and it </a:t>
          </a:r>
          <a:r>
            <a:rPr lang="en-US" sz="1400" b="1" baseline="0">
              <a:solidFill>
                <a:srgbClr val="7030A0"/>
              </a:solidFill>
            </a:rPr>
            <a:t>will </a:t>
          </a:r>
          <a:r>
            <a:rPr lang="en-US" sz="1400" b="0" baseline="0">
              <a:solidFill>
                <a:srgbClr val="7030A0"/>
              </a:solidFill>
            </a:rPr>
            <a:t>be reflected in the FTM - Market Participant benefits. </a:t>
          </a:r>
          <a:endParaRPr lang="en-US" sz="1400">
            <a:solidFill>
              <a:srgbClr val="7030A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11909</xdr:colOff>
      <xdr:row>5</xdr:row>
      <xdr:rowOff>11910</xdr:rowOff>
    </xdr:from>
    <xdr:to>
      <xdr:col>3</xdr:col>
      <xdr:colOff>750093</xdr:colOff>
      <xdr:row>6</xdr:row>
      <xdr:rowOff>59531</xdr:rowOff>
    </xdr:to>
    <xdr:sp macro="" textlink="">
      <xdr:nvSpPr>
        <xdr:cNvPr id="4" name="Flowchart: Document 3">
          <a:extLst>
            <a:ext uri="{FF2B5EF4-FFF2-40B4-BE49-F238E27FC236}">
              <a16:creationId xmlns:a16="http://schemas.microsoft.com/office/drawing/2014/main" id="{7890D01B-E70A-4B8C-8690-19EC23D87403}"/>
            </a:ext>
          </a:extLst>
        </xdr:cNvPr>
        <xdr:cNvSpPr/>
      </xdr:nvSpPr>
      <xdr:spPr>
        <a:xfrm>
          <a:off x="250034" y="1707360"/>
          <a:ext cx="1262059" cy="285746"/>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600" b="1"/>
            <a:t>PROJECT</a:t>
          </a:r>
        </a:p>
      </xdr:txBody>
    </xdr:sp>
    <xdr:clientData/>
  </xdr:twoCellAnchor>
  <xdr:twoCellAnchor>
    <xdr:from>
      <xdr:col>8</xdr:col>
      <xdr:colOff>0</xdr:colOff>
      <xdr:row>5</xdr:row>
      <xdr:rowOff>11906</xdr:rowOff>
    </xdr:from>
    <xdr:to>
      <xdr:col>10</xdr:col>
      <xdr:colOff>797715</xdr:colOff>
      <xdr:row>6</xdr:row>
      <xdr:rowOff>59527</xdr:rowOff>
    </xdr:to>
    <xdr:sp macro="" textlink="">
      <xdr:nvSpPr>
        <xdr:cNvPr id="5" name="Flowchart: Document 4">
          <a:extLst>
            <a:ext uri="{FF2B5EF4-FFF2-40B4-BE49-F238E27FC236}">
              <a16:creationId xmlns:a16="http://schemas.microsoft.com/office/drawing/2014/main" id="{E15DCE4E-75C8-4020-9E87-46BB11536F12}"/>
            </a:ext>
          </a:extLst>
        </xdr:cNvPr>
        <xdr:cNvSpPr/>
      </xdr:nvSpPr>
      <xdr:spPr>
        <a:xfrm>
          <a:off x="9810750" y="1707356"/>
          <a:ext cx="1359690" cy="285746"/>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600" b="1"/>
            <a:t>CAPEX</a:t>
          </a:r>
        </a:p>
      </xdr:txBody>
    </xdr:sp>
    <xdr:clientData/>
  </xdr:twoCellAnchor>
  <xdr:twoCellAnchor>
    <xdr:from>
      <xdr:col>24</xdr:col>
      <xdr:colOff>11909</xdr:colOff>
      <xdr:row>5</xdr:row>
      <xdr:rowOff>11910</xdr:rowOff>
    </xdr:from>
    <xdr:to>
      <xdr:col>26</xdr:col>
      <xdr:colOff>750093</xdr:colOff>
      <xdr:row>6</xdr:row>
      <xdr:rowOff>59531</xdr:rowOff>
    </xdr:to>
    <xdr:sp macro="" textlink="">
      <xdr:nvSpPr>
        <xdr:cNvPr id="6" name="Flowchart: Document 5">
          <a:extLst>
            <a:ext uri="{FF2B5EF4-FFF2-40B4-BE49-F238E27FC236}">
              <a16:creationId xmlns:a16="http://schemas.microsoft.com/office/drawing/2014/main" id="{9CDFCFB4-9777-459A-A3E6-DEDCD4D258FC}"/>
            </a:ext>
          </a:extLst>
        </xdr:cNvPr>
        <xdr:cNvSpPr/>
      </xdr:nvSpPr>
      <xdr:spPr>
        <a:xfrm>
          <a:off x="29234609" y="1707360"/>
          <a:ext cx="1328734" cy="285746"/>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600" b="1"/>
            <a:t>OTHER</a:t>
          </a:r>
        </a:p>
      </xdr:txBody>
    </xdr:sp>
    <xdr:clientData/>
  </xdr:twoCellAnchor>
  <xdr:twoCellAnchor>
    <xdr:from>
      <xdr:col>17</xdr:col>
      <xdr:colOff>11909</xdr:colOff>
      <xdr:row>5</xdr:row>
      <xdr:rowOff>11910</xdr:rowOff>
    </xdr:from>
    <xdr:to>
      <xdr:col>19</xdr:col>
      <xdr:colOff>750093</xdr:colOff>
      <xdr:row>6</xdr:row>
      <xdr:rowOff>59531</xdr:rowOff>
    </xdr:to>
    <xdr:sp macro="" textlink="">
      <xdr:nvSpPr>
        <xdr:cNvPr id="7" name="Flowchart: Document 6">
          <a:extLst>
            <a:ext uri="{FF2B5EF4-FFF2-40B4-BE49-F238E27FC236}">
              <a16:creationId xmlns:a16="http://schemas.microsoft.com/office/drawing/2014/main" id="{3F30909E-359B-4070-A2FF-C6CF1AB0A73A}"/>
            </a:ext>
          </a:extLst>
        </xdr:cNvPr>
        <xdr:cNvSpPr/>
      </xdr:nvSpPr>
      <xdr:spPr>
        <a:xfrm>
          <a:off x="19585784" y="1707360"/>
          <a:ext cx="1328734" cy="285746"/>
        </a:xfrm>
        <a:prstGeom prst="flowChartDocument">
          <a:avLst/>
        </a:prstGeom>
        <a:solidFill>
          <a:srgbClr val="009999"/>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600" b="1"/>
            <a:t>OPEX</a:t>
          </a:r>
        </a:p>
      </xdr:txBody>
    </xdr:sp>
    <xdr:clientData/>
  </xdr:twoCellAnchor>
  <xdr:twoCellAnchor>
    <xdr:from>
      <xdr:col>15</xdr:col>
      <xdr:colOff>161925</xdr:colOff>
      <xdr:row>5</xdr:row>
      <xdr:rowOff>19050</xdr:rowOff>
    </xdr:from>
    <xdr:to>
      <xdr:col>16</xdr:col>
      <xdr:colOff>104775</xdr:colOff>
      <xdr:row>5</xdr:row>
      <xdr:rowOff>150020</xdr:rowOff>
    </xdr:to>
    <xdr:sp macro="" textlink="">
      <xdr:nvSpPr>
        <xdr:cNvPr id="8" name="Curved Up Arrow 12">
          <a:extLst>
            <a:ext uri="{FF2B5EF4-FFF2-40B4-BE49-F238E27FC236}">
              <a16:creationId xmlns:a16="http://schemas.microsoft.com/office/drawing/2014/main" id="{B1583661-511A-49C8-BE3A-3DE7059D9C0D}"/>
            </a:ext>
          </a:extLst>
        </xdr:cNvPr>
        <xdr:cNvSpPr/>
      </xdr:nvSpPr>
      <xdr:spPr>
        <a:xfrm>
          <a:off x="19202400" y="1714500"/>
          <a:ext cx="238125" cy="13097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xdr:from>
      <xdr:col>6</xdr:col>
      <xdr:colOff>178590</xdr:colOff>
      <xdr:row>5</xdr:row>
      <xdr:rowOff>35718</xdr:rowOff>
    </xdr:from>
    <xdr:to>
      <xdr:col>7</xdr:col>
      <xdr:colOff>133346</xdr:colOff>
      <xdr:row>5</xdr:row>
      <xdr:rowOff>166688</xdr:rowOff>
    </xdr:to>
    <xdr:sp macro="" textlink="">
      <xdr:nvSpPr>
        <xdr:cNvPr id="9" name="Curved Up Arrow 12">
          <a:extLst>
            <a:ext uri="{FF2B5EF4-FFF2-40B4-BE49-F238E27FC236}">
              <a16:creationId xmlns:a16="http://schemas.microsoft.com/office/drawing/2014/main" id="{46DCFF15-2B3F-43E5-B645-440E8F5047C1}"/>
            </a:ext>
          </a:extLst>
        </xdr:cNvPr>
        <xdr:cNvSpPr/>
      </xdr:nvSpPr>
      <xdr:spPr>
        <a:xfrm>
          <a:off x="9455940" y="1731168"/>
          <a:ext cx="250031" cy="13097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xdr:from>
      <xdr:col>22</xdr:col>
      <xdr:colOff>166684</xdr:colOff>
      <xdr:row>5</xdr:row>
      <xdr:rowOff>23812</xdr:rowOff>
    </xdr:from>
    <xdr:to>
      <xdr:col>23</xdr:col>
      <xdr:colOff>121440</xdr:colOff>
      <xdr:row>5</xdr:row>
      <xdr:rowOff>154782</xdr:rowOff>
    </xdr:to>
    <xdr:sp macro="" textlink="">
      <xdr:nvSpPr>
        <xdr:cNvPr id="10" name="Curved Up Arrow 12">
          <a:extLst>
            <a:ext uri="{FF2B5EF4-FFF2-40B4-BE49-F238E27FC236}">
              <a16:creationId xmlns:a16="http://schemas.microsoft.com/office/drawing/2014/main" id="{EA307379-C3B0-46A3-B66D-DE3AA1CC20F4}"/>
            </a:ext>
          </a:extLst>
        </xdr:cNvPr>
        <xdr:cNvSpPr/>
      </xdr:nvSpPr>
      <xdr:spPr>
        <a:xfrm>
          <a:off x="28855984" y="1719262"/>
          <a:ext cx="250031" cy="13097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xdr:from>
      <xdr:col>29</xdr:col>
      <xdr:colOff>166684</xdr:colOff>
      <xdr:row>5</xdr:row>
      <xdr:rowOff>23812</xdr:rowOff>
    </xdr:from>
    <xdr:to>
      <xdr:col>30</xdr:col>
      <xdr:colOff>121440</xdr:colOff>
      <xdr:row>5</xdr:row>
      <xdr:rowOff>154782</xdr:rowOff>
    </xdr:to>
    <xdr:sp macro="" textlink="">
      <xdr:nvSpPr>
        <xdr:cNvPr id="11" name="Curved Up Arrow 12">
          <a:extLst>
            <a:ext uri="{FF2B5EF4-FFF2-40B4-BE49-F238E27FC236}">
              <a16:creationId xmlns:a16="http://schemas.microsoft.com/office/drawing/2014/main" id="{3D182CC0-BB0B-4ABE-A60E-78133E51B4E0}"/>
            </a:ext>
          </a:extLst>
        </xdr:cNvPr>
        <xdr:cNvSpPr/>
      </xdr:nvSpPr>
      <xdr:spPr>
        <a:xfrm>
          <a:off x="38609584" y="1719262"/>
          <a:ext cx="250031" cy="130970"/>
        </a:xfrm>
        <a:prstGeom prst="curved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eamrooms.insidenci.com/Applic/SOE/WORK/TR/TR-ROA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teamrooms.insidenci.com/Applic/SOE/WORK/IW/IWWABS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shepard\Downloads\AESC%202021%20User%20Interface%20-%20CF4.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lp"/>
      <sheetName val="All road-compendium file"/>
      <sheetName val="Motorways-compendium file"/>
      <sheetName val="All road-work file"/>
      <sheetName val="Motorways-work file"/>
      <sheetName val="Check"/>
      <sheetName val="chart_roads"/>
      <sheetName val="chart_motorways"/>
      <sheetName val="User instruction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1B"/>
      <sheetName val="3.1B-notes"/>
      <sheetName val="3.1C"/>
      <sheetName val="3.1C-notes"/>
      <sheetName val="IWWABST"/>
      <sheetName val="%"/>
      <sheetName val="Agregates"/>
      <sheetName val="PUB(estm.)"/>
      <sheetName val="Households"/>
      <sheetName val="MEX"/>
      <sheetName val="BEL"/>
      <sheetName val="DNK(98) DWSA"/>
      <sheetName val="DNK(98) quest."/>
      <sheetName val="DNK(97)"/>
      <sheetName val="FIN"/>
      <sheetName val="Ger.work1"/>
      <sheetName val="LUX"/>
      <sheetName val="UKD"/>
      <sheetName val="Module1"/>
      <sheetName val="by sector"/>
      <sheetName val="Questions to ctry."/>
      <sheetName val="KOR(qst.c.)"/>
      <sheetName val="(GRC(qst.c.))"/>
      <sheetName val="NLD(qst.c.)"/>
      <sheetName val="3.2A"/>
      <sheetName val="3.2B"/>
      <sheetName val="3.2B-notes"/>
      <sheetName val="3.2C"/>
      <sheetName val="3.2C-notes"/>
      <sheetName val="ManIN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UserInterface"/>
      <sheetName val="AppdxB"/>
      <sheetName val="AppdxJ"/>
      <sheetName val="KeyReportTables"/>
      <sheetName val="HourlyInputs"/>
      <sheetName val="RR_All"/>
      <sheetName val="RR_Select"/>
      <sheetName val="Library"/>
      <sheetName val="RR_ME"/>
      <sheetName val="RR_NH"/>
      <sheetName val="RR_RI"/>
      <sheetName val="RR_VT"/>
      <sheetName val="RR_CT"/>
      <sheetName val="RR_OTCT"/>
      <sheetName val="RR_SWCT"/>
      <sheetName val="RR_MA"/>
      <sheetName val="RR_SEMA"/>
      <sheetName val="RR_NEMA"/>
      <sheetName val="RR_WCMA"/>
      <sheetName val="VGSCosts"/>
      <sheetName val="AppdxG"/>
      <sheetName val="NonEmbedded_Calcs"/>
      <sheetName val="MarginalEmissions"/>
      <sheetName val="KeyRPSTables"/>
      <sheetName val="RPSCompliance"/>
      <sheetName val="RPSBinding"/>
      <sheetName val="AppdxC"/>
      <sheetName val="GasSupplyDRIPE"/>
      <sheetName val="E_G_DRIPE"/>
      <sheetName val="G_E_and_E_G_E_DRIPE"/>
      <sheetName val="ElecEnergy"/>
    </sheetNames>
    <sheetDataSet>
      <sheetData sheetId="0" refreshError="1"/>
      <sheetData sheetId="1">
        <row r="26">
          <cell r="D26">
            <v>0.08</v>
          </cell>
        </row>
        <row r="28">
          <cell r="D2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6">
    <wetp:webextensionref xmlns:r="http://schemas.openxmlformats.org/officeDocument/2006/relationships" r:id="rId1"/>
  </wetp:taskpane>
  <wetp:taskpane dockstate="right" visibility="0" width="350" row="8">
    <wetp:webextensionref xmlns:r="http://schemas.openxmlformats.org/officeDocument/2006/relationships" r:id="rId2"/>
  </wetp:taskpane>
</wetp:taskpanes>
</file>

<file path=xl/webextensions/webextension1.xml><?xml version="1.0" encoding="utf-8"?>
<we:webextension xmlns:we="http://schemas.microsoft.com/office/webextensions/webextension/2010/11" id="{B99E5131-8189-4E2A-92C0-5ED4C798B8FF}">
  <we:reference id="wa200009404" version="1.0.0.8" store="en-US" storeType="OMEX"/>
  <we:alternateReferences>
    <we:reference id="WA200009404" version="1.0.0.8" store="WA200009404" storeType="OMEX"/>
  </we:alternateReferences>
  <we:properties>
    <we:property name="claude.fileId" value="&quot;c1a5dda7-6d46-491b-9d14-5406517d9eb1&quot;"/>
  </we:properties>
  <we:bindings/>
  <we:snapshot xmlns:r="http://schemas.openxmlformats.org/officeDocument/2006/relationships"/>
</we:webextension>
</file>

<file path=xl/webextensions/webextension2.xml><?xml version="1.0" encoding="utf-8"?>
<we:webextension xmlns:we="http://schemas.microsoft.com/office/webextensions/webextension/2010/11" id="{4DDFD3D5-EAAF-4184-B68A-C5B96B2E4E21}">
  <we:reference id="WA200010725" version="1.0.0.1" store="Omex" storeType="OMEX"/>
  <we:alternateReferences>
    <we:reference id="WA200010725" version="1.0.0.1" store="WA200010725" storeType="OMEX"/>
  </we:alternateReferences>
  <we:properties>
    <we:property name="claude.fileId" value="&quot;90614981-0738-48c0-afda-b75d90bb1539&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C5F9F-A298-4275-9690-7F404F9273CB}">
  <sheetPr>
    <tabColor theme="2" tint="-9.9978637043366805E-2"/>
    <pageSetUpPr autoPageBreaks="0"/>
  </sheetPr>
  <dimension ref="A1:XFA71"/>
  <sheetViews>
    <sheetView showGridLines="0" tabSelected="1" showWhiteSpace="0" topLeftCell="A4" zoomScale="130" zoomScaleNormal="130" zoomScaleSheetLayoutView="115" workbookViewId="0">
      <selection activeCell="K49" sqref="K49"/>
    </sheetView>
  </sheetViews>
  <sheetFormatPr defaultColWidth="0" defaultRowHeight="0" customHeight="1" zeroHeight="1" x14ac:dyDescent="0.2"/>
  <cols>
    <col min="1" max="1" width="1.88671875" style="380" customWidth="1"/>
    <col min="2" max="3" width="0.6640625" style="380" customWidth="1"/>
    <col min="4" max="4" width="31.88671875" style="380" customWidth="1"/>
    <col min="5" max="5" width="2.33203125" style="380" customWidth="1"/>
    <col min="6" max="6" width="63.88671875" style="380" customWidth="1"/>
    <col min="7" max="7" width="1.6640625" style="380" customWidth="1"/>
    <col min="8" max="8" width="1.33203125" style="380" customWidth="1"/>
    <col min="9" max="9" width="5.6640625" style="380" customWidth="1"/>
    <col min="10" max="10" width="1.109375" style="380" customWidth="1"/>
    <col min="11" max="11" width="30.44140625" style="380" customWidth="1"/>
    <col min="12" max="12" width="2.5546875" style="380" customWidth="1"/>
    <col min="13" max="13" width="0" style="380" hidden="1" customWidth="1"/>
    <col min="14" max="16381" width="7.33203125" style="380" hidden="1"/>
    <col min="16382" max="16384" width="3.44140625" style="380" hidden="1"/>
  </cols>
  <sheetData>
    <row r="1" spans="1:11" ht="0" hidden="1" customHeight="1" x14ac:dyDescent="0.3">
      <c r="A1" s="955" t="s">
        <v>673</v>
      </c>
      <c r="B1" s="955"/>
      <c r="C1" s="955"/>
      <c r="D1" s="955"/>
      <c r="E1" s="955"/>
      <c r="F1" s="955"/>
      <c r="G1" s="955"/>
      <c r="H1" s="955"/>
      <c r="I1" s="955"/>
      <c r="J1" s="955"/>
      <c r="K1" s="955"/>
    </row>
    <row r="4" spans="1:11" ht="60.6" customHeight="1" x14ac:dyDescent="0.2"/>
    <row r="5" spans="1:11" ht="16.8" x14ac:dyDescent="0.3">
      <c r="B5" s="381" t="s">
        <v>675</v>
      </c>
      <c r="C5" s="381"/>
      <c r="D5" s="381"/>
      <c r="E5" s="381"/>
      <c r="F5" s="381"/>
      <c r="G5" s="381"/>
      <c r="H5" s="381"/>
      <c r="I5" s="381"/>
      <c r="J5" s="381"/>
      <c r="K5" s="382"/>
    </row>
    <row r="6" spans="1:11" ht="18.600000000000001" customHeight="1" x14ac:dyDescent="0.2">
      <c r="B6" s="383"/>
      <c r="C6" s="384" t="s">
        <v>622</v>
      </c>
      <c r="D6" s="385"/>
      <c r="E6" s="386"/>
    </row>
    <row r="7" spans="1:11" ht="10.199999999999999" x14ac:dyDescent="0.2"/>
    <row r="8" spans="1:11" ht="10.199999999999999" x14ac:dyDescent="0.2"/>
    <row r="9" spans="1:11" ht="10.199999999999999" x14ac:dyDescent="0.2"/>
    <row r="10" spans="1:11" ht="10.199999999999999" x14ac:dyDescent="0.2"/>
    <row r="11" spans="1:11" ht="10.199999999999999" x14ac:dyDescent="0.2"/>
    <row r="12" spans="1:11" ht="10.199999999999999" x14ac:dyDescent="0.2"/>
    <row r="13" spans="1:11" ht="10.199999999999999" x14ac:dyDescent="0.2"/>
    <row r="14" spans="1:11" ht="10.199999999999999" x14ac:dyDescent="0.2"/>
    <row r="15" spans="1:11" ht="10.199999999999999" x14ac:dyDescent="0.2"/>
    <row r="16" spans="1:11" ht="33" customHeight="1" x14ac:dyDescent="0.2"/>
    <row r="17" spans="3:11" ht="13.8" x14ac:dyDescent="0.25">
      <c r="C17" s="387" t="s">
        <v>614</v>
      </c>
      <c r="D17" s="388"/>
      <c r="E17" s="388"/>
      <c r="F17" s="388"/>
      <c r="G17" s="388"/>
      <c r="H17" s="388"/>
      <c r="I17" s="388"/>
      <c r="J17" s="388"/>
      <c r="K17" s="388"/>
    </row>
    <row r="18" spans="3:11" ht="10.199999999999999" x14ac:dyDescent="0.2"/>
    <row r="19" spans="3:11" ht="10.199999999999999" x14ac:dyDescent="0.2"/>
    <row r="20" spans="3:11" ht="10.199999999999999" x14ac:dyDescent="0.2"/>
    <row r="21" spans="3:11" ht="10.199999999999999" x14ac:dyDescent="0.2"/>
    <row r="22" spans="3:11" ht="10.199999999999999" x14ac:dyDescent="0.2"/>
    <row r="23" spans="3:11" ht="10.199999999999999" x14ac:dyDescent="0.2"/>
    <row r="24" spans="3:11" ht="13.8" x14ac:dyDescent="0.25">
      <c r="C24" s="389" t="s">
        <v>615</v>
      </c>
      <c r="D24" s="390"/>
      <c r="E24" s="390"/>
      <c r="F24" s="390"/>
      <c r="G24" s="391"/>
      <c r="I24" s="388" t="s">
        <v>616</v>
      </c>
      <c r="J24" s="388"/>
      <c r="K24" s="388"/>
    </row>
    <row r="25" spans="3:11" ht="10.199999999999999" x14ac:dyDescent="0.2">
      <c r="C25" s="380" t="s">
        <v>617</v>
      </c>
    </row>
    <row r="26" spans="3:11" ht="10.199999999999999" x14ac:dyDescent="0.2">
      <c r="I26" s="392" t="s">
        <v>637</v>
      </c>
      <c r="K26" s="380" t="s">
        <v>684</v>
      </c>
    </row>
    <row r="27" spans="3:11" ht="10.199999999999999" x14ac:dyDescent="0.2">
      <c r="D27" s="393" t="s">
        <v>618</v>
      </c>
      <c r="E27" s="394"/>
      <c r="F27" s="940" t="s">
        <v>619</v>
      </c>
    </row>
    <row r="28" spans="3:11" ht="10.199999999999999" x14ac:dyDescent="0.2">
      <c r="D28" s="948" t="s">
        <v>623</v>
      </c>
      <c r="E28" s="395"/>
      <c r="F28" s="949" t="s">
        <v>660</v>
      </c>
      <c r="I28" s="396" t="s">
        <v>637</v>
      </c>
      <c r="K28" s="380" t="s">
        <v>662</v>
      </c>
    </row>
    <row r="29" spans="3:11" ht="10.199999999999999" x14ac:dyDescent="0.2">
      <c r="D29" s="948" t="s">
        <v>624</v>
      </c>
      <c r="E29" s="395"/>
      <c r="F29" s="950" t="s">
        <v>630</v>
      </c>
    </row>
    <row r="30" spans="3:11" ht="10.199999999999999" x14ac:dyDescent="0.2">
      <c r="D30" s="951" t="s">
        <v>625</v>
      </c>
      <c r="E30" s="395"/>
      <c r="F30" s="950" t="s">
        <v>631</v>
      </c>
      <c r="I30" s="397" t="s">
        <v>524</v>
      </c>
      <c r="K30" s="380" t="s">
        <v>685</v>
      </c>
    </row>
    <row r="31" spans="3:11" ht="13.8" x14ac:dyDescent="0.25">
      <c r="D31" s="951" t="s">
        <v>620</v>
      </c>
      <c r="E31" s="395"/>
      <c r="F31" s="950" t="s">
        <v>632</v>
      </c>
      <c r="I31" s="398"/>
    </row>
    <row r="32" spans="3:11" ht="20.399999999999999" x14ac:dyDescent="0.2">
      <c r="D32" s="952" t="s">
        <v>102</v>
      </c>
      <c r="E32" s="399"/>
      <c r="F32" s="953" t="s">
        <v>676</v>
      </c>
      <c r="I32" s="400" t="s">
        <v>524</v>
      </c>
      <c r="K32" s="380" t="s">
        <v>638</v>
      </c>
    </row>
    <row r="33" spans="3:11" ht="13.8" x14ac:dyDescent="0.25">
      <c r="D33" s="952" t="s">
        <v>621</v>
      </c>
      <c r="E33" s="399"/>
      <c r="F33" s="954" t="s">
        <v>633</v>
      </c>
      <c r="I33" s="401" t="s">
        <v>524</v>
      </c>
      <c r="J33" s="398"/>
      <c r="K33" s="380" t="s">
        <v>639</v>
      </c>
    </row>
    <row r="34" spans="3:11" ht="13.8" x14ac:dyDescent="0.25">
      <c r="D34" s="952" t="s">
        <v>626</v>
      </c>
      <c r="E34" s="399"/>
      <c r="F34" s="954" t="s">
        <v>677</v>
      </c>
      <c r="I34" s="404" t="s">
        <v>524</v>
      </c>
      <c r="J34" s="398"/>
      <c r="K34" s="380" t="s">
        <v>640</v>
      </c>
    </row>
    <row r="35" spans="3:11" ht="10.199999999999999" hidden="1" x14ac:dyDescent="0.2">
      <c r="D35" s="402" t="s">
        <v>659</v>
      </c>
      <c r="E35" s="403"/>
      <c r="F35" s="402" t="s">
        <v>679</v>
      </c>
    </row>
    <row r="36" spans="3:11" ht="13.8" hidden="1" x14ac:dyDescent="0.25">
      <c r="D36" s="405" t="s">
        <v>627</v>
      </c>
      <c r="E36" s="406"/>
      <c r="F36" s="405" t="s">
        <v>678</v>
      </c>
      <c r="I36" s="398"/>
      <c r="J36" s="398"/>
      <c r="K36" s="398"/>
    </row>
    <row r="37" spans="3:11" ht="13.8" hidden="1" x14ac:dyDescent="0.25">
      <c r="D37" s="405" t="s">
        <v>8</v>
      </c>
      <c r="E37" s="406"/>
      <c r="F37" s="405" t="s">
        <v>661</v>
      </c>
      <c r="I37" s="398"/>
      <c r="J37" s="398"/>
      <c r="K37" s="398"/>
    </row>
    <row r="38" spans="3:11" ht="20.399999999999999" hidden="1" x14ac:dyDescent="0.25">
      <c r="D38" s="405" t="s">
        <v>629</v>
      </c>
      <c r="E38" s="406"/>
      <c r="F38" s="407" t="s">
        <v>634</v>
      </c>
      <c r="I38" s="398"/>
      <c r="J38" s="398"/>
      <c r="K38" s="398"/>
    </row>
    <row r="39" spans="3:11" ht="13.8" hidden="1" x14ac:dyDescent="0.25">
      <c r="D39" s="405" t="s">
        <v>628</v>
      </c>
      <c r="E39" s="406"/>
      <c r="F39" s="405" t="s">
        <v>635</v>
      </c>
      <c r="I39" s="398"/>
      <c r="J39" s="398"/>
      <c r="K39" s="398"/>
    </row>
    <row r="40" spans="3:11" ht="13.8" hidden="1" x14ac:dyDescent="0.25">
      <c r="D40" s="405" t="s">
        <v>658</v>
      </c>
      <c r="E40" s="406"/>
      <c r="F40" s="405" t="s">
        <v>680</v>
      </c>
      <c r="I40" s="398"/>
      <c r="J40" s="398"/>
      <c r="K40" s="398"/>
    </row>
    <row r="41" spans="3:11" ht="13.8" hidden="1" x14ac:dyDescent="0.25">
      <c r="D41" s="408" t="s">
        <v>78</v>
      </c>
      <c r="E41" s="409"/>
      <c r="F41" s="408" t="s">
        <v>636</v>
      </c>
      <c r="I41" s="398"/>
      <c r="J41" s="398"/>
      <c r="K41" s="398"/>
    </row>
    <row r="42" spans="3:11" ht="10.199999999999999" x14ac:dyDescent="0.2"/>
    <row r="43" spans="3:11" ht="14.4" thickBot="1" x14ac:dyDescent="0.3">
      <c r="C43" s="410" t="s">
        <v>641</v>
      </c>
      <c r="D43" s="388"/>
      <c r="E43" s="388"/>
      <c r="F43" s="388"/>
      <c r="G43" s="388"/>
      <c r="H43" s="388"/>
      <c r="I43" s="388"/>
      <c r="J43" s="388"/>
      <c r="K43" s="388"/>
    </row>
    <row r="44" spans="3:11" ht="10.199999999999999" x14ac:dyDescent="0.2"/>
    <row r="45" spans="3:11" ht="10.199999999999999" x14ac:dyDescent="0.2"/>
    <row r="46" spans="3:11" ht="10.199999999999999" x14ac:dyDescent="0.2"/>
    <row r="47" spans="3:11" ht="10.199999999999999" x14ac:dyDescent="0.2"/>
    <row r="48" spans="3:11" ht="10.199999999999999" x14ac:dyDescent="0.2"/>
    <row r="49" spans="4:6" ht="10.199999999999999" x14ac:dyDescent="0.2"/>
    <row r="50" spans="4:6" ht="10.199999999999999" x14ac:dyDescent="0.2"/>
    <row r="51" spans="4:6" ht="10.199999999999999" x14ac:dyDescent="0.2"/>
    <row r="52" spans="4:6" ht="10.199999999999999" x14ac:dyDescent="0.2"/>
    <row r="53" spans="4:6" ht="10.199999999999999" x14ac:dyDescent="0.2"/>
    <row r="54" spans="4:6" ht="10.199999999999999" x14ac:dyDescent="0.2">
      <c r="D54" s="393" t="s">
        <v>642</v>
      </c>
      <c r="E54" s="394"/>
      <c r="F54" s="940" t="s">
        <v>643</v>
      </c>
    </row>
    <row r="55" spans="4:6" ht="20.399999999999999" x14ac:dyDescent="0.2">
      <c r="D55" s="941" t="s">
        <v>644</v>
      </c>
      <c r="E55" s="411"/>
      <c r="F55" s="942" t="s">
        <v>462</v>
      </c>
    </row>
    <row r="56" spans="4:6" ht="10.199999999999999" x14ac:dyDescent="0.2">
      <c r="D56" s="941" t="s">
        <v>645</v>
      </c>
      <c r="E56" s="411"/>
      <c r="F56" s="942" t="s">
        <v>462</v>
      </c>
    </row>
    <row r="57" spans="4:6" ht="30.6" x14ac:dyDescent="0.2">
      <c r="D57" s="941" t="s">
        <v>646</v>
      </c>
      <c r="E57" s="411"/>
      <c r="F57" s="942" t="s">
        <v>462</v>
      </c>
    </row>
    <row r="58" spans="4:6" ht="10.199999999999999" x14ac:dyDescent="0.2">
      <c r="D58" s="945" t="s">
        <v>648</v>
      </c>
      <c r="E58" s="946"/>
      <c r="F58" s="947" t="s">
        <v>462</v>
      </c>
    </row>
    <row r="59" spans="4:6" ht="10.199999999999999" x14ac:dyDescent="0.2">
      <c r="D59" s="943" t="s">
        <v>647</v>
      </c>
      <c r="E59" s="412"/>
      <c r="F59" s="944" t="s">
        <v>462</v>
      </c>
    </row>
    <row r="60" spans="4:6" ht="20.399999999999999" x14ac:dyDescent="0.2">
      <c r="D60" s="941" t="s">
        <v>681</v>
      </c>
      <c r="E60" s="411"/>
      <c r="F60" s="942" t="s">
        <v>462</v>
      </c>
    </row>
    <row r="61" spans="4:6" ht="10.199999999999999" x14ac:dyDescent="0.2">
      <c r="D61" s="941" t="s">
        <v>649</v>
      </c>
      <c r="E61" s="411"/>
      <c r="F61" s="942" t="s">
        <v>462</v>
      </c>
    </row>
    <row r="62" spans="4:6" ht="20.399999999999999" x14ac:dyDescent="0.2">
      <c r="D62" s="941" t="s">
        <v>651</v>
      </c>
      <c r="E62" s="411"/>
      <c r="F62" s="942" t="s">
        <v>656</v>
      </c>
    </row>
    <row r="63" spans="4:6" ht="10.199999999999999" x14ac:dyDescent="0.2">
      <c r="D63" s="941" t="s">
        <v>652</v>
      </c>
      <c r="E63" s="411"/>
      <c r="F63" s="942" t="s">
        <v>656</v>
      </c>
    </row>
    <row r="64" spans="4:6" ht="20.399999999999999" x14ac:dyDescent="0.2">
      <c r="D64" s="941" t="s">
        <v>682</v>
      </c>
      <c r="E64" s="411"/>
      <c r="F64" s="942" t="s">
        <v>656</v>
      </c>
    </row>
    <row r="65" spans="4:6" ht="20.399999999999999" x14ac:dyDescent="0.2">
      <c r="D65" s="941" t="s">
        <v>653</v>
      </c>
      <c r="E65" s="411"/>
      <c r="F65" s="942" t="s">
        <v>656</v>
      </c>
    </row>
    <row r="66" spans="4:6" ht="10.199999999999999" x14ac:dyDescent="0.2">
      <c r="D66" s="941" t="s">
        <v>654</v>
      </c>
      <c r="E66" s="411"/>
      <c r="F66" s="942" t="s">
        <v>656</v>
      </c>
    </row>
    <row r="67" spans="4:6" ht="10.199999999999999" x14ac:dyDescent="0.2">
      <c r="D67" s="941" t="s">
        <v>655</v>
      </c>
      <c r="E67" s="411"/>
      <c r="F67" s="942" t="s">
        <v>656</v>
      </c>
    </row>
    <row r="68" spans="4:6" ht="10.199999999999999" x14ac:dyDescent="0.2">
      <c r="D68" s="941" t="s">
        <v>657</v>
      </c>
      <c r="E68" s="411"/>
      <c r="F68" s="942" t="s">
        <v>656</v>
      </c>
    </row>
    <row r="69" spans="4:6" ht="30.6" x14ac:dyDescent="0.2">
      <c r="D69" s="941" t="s">
        <v>683</v>
      </c>
      <c r="E69" s="411"/>
      <c r="F69" s="942" t="s">
        <v>656</v>
      </c>
    </row>
    <row r="70" spans="4:6" ht="10.199999999999999" x14ac:dyDescent="0.2">
      <c r="D70" s="941" t="s">
        <v>650</v>
      </c>
      <c r="E70" s="411"/>
      <c r="F70" s="942" t="s">
        <v>656</v>
      </c>
    </row>
    <row r="71" spans="4:6" ht="10.199999999999999" x14ac:dyDescent="0.2"/>
  </sheetData>
  <sheetProtection algorithmName="SHA-512" hashValue="ZUcTZBfd2sJ0k4e8QDN279WhyIcArJj52+v/jE//ipAkoGeEGS8db0n8b/9TbjuJTK7tQRr6uRFmOXtPIwiozw==" saltValue="G3bFFOO4AvvdYAAYVsASbQ==" spinCount="100000" sheet="1" objects="1" scenarios="1" selectLockedCells="1" selectUnlockedCells="1"/>
  <mergeCells count="1">
    <mergeCell ref="A1:K1"/>
  </mergeCells>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618E7-5159-4FD1-8C76-2D4DEDBEC033}">
  <sheetPr codeName="Sheet9">
    <tabColor theme="7" tint="0.59999389629810485"/>
  </sheetPr>
  <dimension ref="A1:I29"/>
  <sheetViews>
    <sheetView zoomScaleNormal="100" workbookViewId="0">
      <selection activeCell="E15" sqref="E15"/>
    </sheetView>
  </sheetViews>
  <sheetFormatPr defaultColWidth="0" defaultRowHeight="14.4" zeroHeight="1" x14ac:dyDescent="0.3"/>
  <cols>
    <col min="1" max="2" width="8.88671875" style="195" customWidth="1"/>
    <col min="3" max="3" width="16.109375" style="195" customWidth="1"/>
    <col min="4" max="4" width="14.44140625" style="195" customWidth="1"/>
    <col min="5" max="5" width="16.5546875" style="195" customWidth="1"/>
    <col min="6" max="6" width="18.88671875" style="195" customWidth="1"/>
    <col min="7" max="7" width="15.6640625" style="195" customWidth="1"/>
    <col min="8" max="8" width="16.6640625" style="195" customWidth="1"/>
    <col min="9" max="9" width="8.88671875" customWidth="1"/>
    <col min="10" max="16384" width="8.88671875" style="195" hidden="1"/>
  </cols>
  <sheetData>
    <row r="1" spans="1:9" ht="16.8" x14ac:dyDescent="0.3">
      <c r="A1" s="958" t="s">
        <v>623</v>
      </c>
      <c r="B1" s="958"/>
      <c r="C1" s="958"/>
      <c r="D1" s="958"/>
      <c r="E1" s="958"/>
      <c r="F1" s="958"/>
      <c r="G1" s="958"/>
      <c r="H1" s="958"/>
      <c r="I1" s="958"/>
    </row>
    <row r="2" spans="1:9" x14ac:dyDescent="0.3">
      <c r="I2" s="195"/>
    </row>
    <row r="3" spans="1:9" x14ac:dyDescent="0.3">
      <c r="I3" s="195"/>
    </row>
    <row r="4" spans="1:9" x14ac:dyDescent="0.3">
      <c r="I4" s="195"/>
    </row>
    <row r="5" spans="1:9" x14ac:dyDescent="0.3">
      <c r="I5" s="195"/>
    </row>
    <row r="6" spans="1:9" x14ac:dyDescent="0.3">
      <c r="I6" s="195"/>
    </row>
    <row r="7" spans="1:9" x14ac:dyDescent="0.3">
      <c r="I7" s="195"/>
    </row>
    <row r="8" spans="1:9" ht="17.399999999999999" thickBot="1" x14ac:dyDescent="0.35">
      <c r="B8" s="957" t="s">
        <v>663</v>
      </c>
      <c r="C8" s="957"/>
      <c r="D8" s="957"/>
      <c r="E8" s="957"/>
      <c r="F8" s="957"/>
      <c r="G8" s="957"/>
      <c r="H8" s="957"/>
      <c r="I8" s="195"/>
    </row>
    <row r="9" spans="1:9" ht="40.200000000000003" thickBot="1" x14ac:dyDescent="0.35">
      <c r="B9" s="342" t="s">
        <v>120</v>
      </c>
      <c r="C9" s="342" t="s">
        <v>594</v>
      </c>
      <c r="D9" s="342" t="s">
        <v>574</v>
      </c>
      <c r="E9" s="342" t="s">
        <v>194</v>
      </c>
      <c r="F9" s="342" t="s">
        <v>575</v>
      </c>
      <c r="G9" s="342" t="s">
        <v>576</v>
      </c>
      <c r="H9" s="342" t="s">
        <v>577</v>
      </c>
      <c r="I9" s="195"/>
    </row>
    <row r="10" spans="1:9" ht="15" thickBot="1" x14ac:dyDescent="0.35">
      <c r="B10" s="343">
        <v>1</v>
      </c>
      <c r="C10" s="956" t="s">
        <v>138</v>
      </c>
      <c r="D10" s="343" t="s">
        <v>578</v>
      </c>
      <c r="E10" s="343" t="s">
        <v>579</v>
      </c>
      <c r="F10" s="956" t="s">
        <v>580</v>
      </c>
      <c r="G10" s="956" t="s">
        <v>581</v>
      </c>
      <c r="H10" s="956" t="s">
        <v>582</v>
      </c>
      <c r="I10" s="195"/>
    </row>
    <row r="11" spans="1:9" ht="15" thickBot="1" x14ac:dyDescent="0.35">
      <c r="B11" s="343">
        <v>2</v>
      </c>
      <c r="C11" s="956"/>
      <c r="D11" s="343" t="s">
        <v>583</v>
      </c>
      <c r="E11" s="343" t="s">
        <v>579</v>
      </c>
      <c r="F11" s="956"/>
      <c r="G11" s="956"/>
      <c r="H11" s="956"/>
      <c r="I11" s="195"/>
    </row>
    <row r="12" spans="1:9" ht="15" thickBot="1" x14ac:dyDescent="0.35">
      <c r="B12" s="343">
        <v>3</v>
      </c>
      <c r="C12" s="956" t="s">
        <v>146</v>
      </c>
      <c r="D12" s="343" t="s">
        <v>584</v>
      </c>
      <c r="E12" s="343" t="s">
        <v>579</v>
      </c>
      <c r="F12" s="956" t="s">
        <v>580</v>
      </c>
      <c r="G12" s="956" t="s">
        <v>585</v>
      </c>
      <c r="H12" s="956" t="s">
        <v>582</v>
      </c>
      <c r="I12" s="195"/>
    </row>
    <row r="13" spans="1:9" ht="15" thickBot="1" x14ac:dyDescent="0.35">
      <c r="B13" s="343">
        <v>4</v>
      </c>
      <c r="C13" s="956"/>
      <c r="D13" s="343" t="s">
        <v>584</v>
      </c>
      <c r="E13" s="343" t="s">
        <v>586</v>
      </c>
      <c r="F13" s="956"/>
      <c r="G13" s="956"/>
      <c r="H13" s="956"/>
      <c r="I13" s="195"/>
    </row>
    <row r="14" spans="1:9" ht="15" thickBot="1" x14ac:dyDescent="0.35">
      <c r="B14" s="343">
        <v>5</v>
      </c>
      <c r="C14" s="956"/>
      <c r="D14" s="343" t="s">
        <v>587</v>
      </c>
      <c r="E14" s="343" t="s">
        <v>579</v>
      </c>
      <c r="F14" s="956"/>
      <c r="G14" s="956"/>
      <c r="H14" s="956"/>
      <c r="I14" s="195"/>
    </row>
    <row r="15" spans="1:9" ht="15" thickBot="1" x14ac:dyDescent="0.35">
      <c r="B15" s="343">
        <v>6</v>
      </c>
      <c r="C15" s="956"/>
      <c r="D15" s="343" t="s">
        <v>587</v>
      </c>
      <c r="E15" s="343" t="s">
        <v>586</v>
      </c>
      <c r="F15" s="956"/>
      <c r="G15" s="956"/>
      <c r="H15" s="956"/>
      <c r="I15" s="195"/>
    </row>
    <row r="16" spans="1:9" ht="15" thickBot="1" x14ac:dyDescent="0.35">
      <c r="B16" s="343">
        <v>7</v>
      </c>
      <c r="C16" s="956"/>
      <c r="D16" s="343" t="s">
        <v>588</v>
      </c>
      <c r="E16" s="343" t="s">
        <v>579</v>
      </c>
      <c r="F16" s="956"/>
      <c r="G16" s="956"/>
      <c r="H16" s="956"/>
      <c r="I16" s="195"/>
    </row>
    <row r="17" spans="2:9" ht="15" thickBot="1" x14ac:dyDescent="0.35">
      <c r="B17" s="343">
        <v>8</v>
      </c>
      <c r="C17" s="956"/>
      <c r="D17" s="343" t="s">
        <v>588</v>
      </c>
      <c r="E17" s="343" t="s">
        <v>586</v>
      </c>
      <c r="F17" s="956"/>
      <c r="G17" s="956"/>
      <c r="H17" s="956"/>
      <c r="I17" s="195"/>
    </row>
    <row r="18" spans="2:9" ht="15" thickBot="1" x14ac:dyDescent="0.35">
      <c r="B18" s="343">
        <v>9</v>
      </c>
      <c r="C18" s="956" t="s">
        <v>145</v>
      </c>
      <c r="D18" s="343" t="s">
        <v>588</v>
      </c>
      <c r="E18" s="343" t="s">
        <v>579</v>
      </c>
      <c r="F18" s="956" t="s">
        <v>580</v>
      </c>
      <c r="G18" s="956" t="s">
        <v>585</v>
      </c>
      <c r="H18" s="956" t="s">
        <v>589</v>
      </c>
      <c r="I18" s="195"/>
    </row>
    <row r="19" spans="2:9" ht="15" thickBot="1" x14ac:dyDescent="0.35">
      <c r="B19" s="343">
        <v>10</v>
      </c>
      <c r="C19" s="956"/>
      <c r="D19" s="343" t="s">
        <v>588</v>
      </c>
      <c r="E19" s="343" t="s">
        <v>586</v>
      </c>
      <c r="F19" s="956"/>
      <c r="G19" s="956"/>
      <c r="H19" s="956"/>
      <c r="I19" s="195"/>
    </row>
    <row r="20" spans="2:9" ht="15" thickBot="1" x14ac:dyDescent="0.35">
      <c r="B20" s="343">
        <v>11</v>
      </c>
      <c r="C20" s="956"/>
      <c r="D20" s="343" t="s">
        <v>590</v>
      </c>
      <c r="E20" s="343" t="s">
        <v>579</v>
      </c>
      <c r="F20" s="956"/>
      <c r="G20" s="956"/>
      <c r="H20" s="956"/>
      <c r="I20" s="195"/>
    </row>
    <row r="21" spans="2:9" ht="15" thickBot="1" x14ac:dyDescent="0.35">
      <c r="B21" s="343">
        <v>12</v>
      </c>
      <c r="C21" s="956"/>
      <c r="D21" s="343" t="s">
        <v>590</v>
      </c>
      <c r="E21" s="343" t="s">
        <v>586</v>
      </c>
      <c r="F21" s="956"/>
      <c r="G21" s="956"/>
      <c r="H21" s="956"/>
      <c r="I21" s="195"/>
    </row>
    <row r="22" spans="2:9" ht="15" thickBot="1" x14ac:dyDescent="0.35">
      <c r="B22" s="343">
        <v>13</v>
      </c>
      <c r="C22" s="956" t="s">
        <v>145</v>
      </c>
      <c r="D22" s="343" t="s">
        <v>588</v>
      </c>
      <c r="E22" s="343" t="s">
        <v>579</v>
      </c>
      <c r="F22" s="956" t="s">
        <v>580</v>
      </c>
      <c r="G22" s="956" t="s">
        <v>585</v>
      </c>
      <c r="H22" s="956" t="s">
        <v>582</v>
      </c>
      <c r="I22" s="195"/>
    </row>
    <row r="23" spans="2:9" ht="15" thickBot="1" x14ac:dyDescent="0.35">
      <c r="B23" s="343">
        <v>14</v>
      </c>
      <c r="C23" s="956"/>
      <c r="D23" s="343" t="s">
        <v>588</v>
      </c>
      <c r="E23" s="343" t="s">
        <v>586</v>
      </c>
      <c r="F23" s="956"/>
      <c r="G23" s="956"/>
      <c r="H23" s="956"/>
      <c r="I23" s="195"/>
    </row>
    <row r="24" spans="2:9" ht="15" thickBot="1" x14ac:dyDescent="0.35">
      <c r="B24" s="343">
        <v>15</v>
      </c>
      <c r="C24" s="956"/>
      <c r="D24" s="343" t="s">
        <v>590</v>
      </c>
      <c r="E24" s="343" t="s">
        <v>579</v>
      </c>
      <c r="F24" s="956"/>
      <c r="G24" s="956"/>
      <c r="H24" s="956"/>
      <c r="I24" s="195"/>
    </row>
    <row r="25" spans="2:9" ht="15" thickBot="1" x14ac:dyDescent="0.35">
      <c r="B25" s="343">
        <v>16</v>
      </c>
      <c r="C25" s="956"/>
      <c r="D25" s="343" t="s">
        <v>590</v>
      </c>
      <c r="E25" s="343" t="s">
        <v>586</v>
      </c>
      <c r="F25" s="956"/>
      <c r="G25" s="956"/>
      <c r="H25" s="956"/>
      <c r="I25" s="195"/>
    </row>
    <row r="26" spans="2:9" x14ac:dyDescent="0.3">
      <c r="B26" s="340"/>
      <c r="C26" s="340"/>
      <c r="D26" s="340"/>
      <c r="E26" s="340"/>
      <c r="F26" s="340"/>
      <c r="G26" s="340"/>
      <c r="H26" s="340"/>
      <c r="I26" s="195"/>
    </row>
    <row r="27" spans="2:9" x14ac:dyDescent="0.3">
      <c r="I27" s="195"/>
    </row>
    <row r="28" spans="2:9" hidden="1" x14ac:dyDescent="0.3">
      <c r="I28" s="195"/>
    </row>
    <row r="29" spans="2:9" hidden="1" x14ac:dyDescent="0.3">
      <c r="I29" s="195"/>
    </row>
  </sheetData>
  <sheetProtection algorithmName="SHA-512" hashValue="wYYH5Oo/L38P8IOvyhrgzO2TViFtlSSLfBbj4jz3kD6EEWRliFG2o9NsyfLpmuvgU5sG6q6PoGDlSGPhRPIkqQ==" saltValue="zbGn4t1H90uDNrGcghg4FA==" spinCount="100000" sheet="1" objects="1" scenarios="1" selectLockedCells="1" selectUnlockedCells="1"/>
  <mergeCells count="18">
    <mergeCell ref="B8:H8"/>
    <mergeCell ref="A1:I1"/>
    <mergeCell ref="C18:C21"/>
    <mergeCell ref="F18:F21"/>
    <mergeCell ref="G18:G21"/>
    <mergeCell ref="H18:H21"/>
    <mergeCell ref="C22:C25"/>
    <mergeCell ref="F22:F25"/>
    <mergeCell ref="G22:G25"/>
    <mergeCell ref="H22:H25"/>
    <mergeCell ref="C10:C11"/>
    <mergeCell ref="F10:F11"/>
    <mergeCell ref="G10:G11"/>
    <mergeCell ref="H10:H11"/>
    <mergeCell ref="C12:C17"/>
    <mergeCell ref="F12:F17"/>
    <mergeCell ref="G12:G17"/>
    <mergeCell ref="H12:H1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61F77-F933-44E2-9CC9-DE92F0196437}">
  <sheetPr codeName="Sheet6">
    <tabColor theme="7" tint="0.59999389629810485"/>
  </sheetPr>
  <dimension ref="A1:S48"/>
  <sheetViews>
    <sheetView zoomScale="85" zoomScaleNormal="85" workbookViewId="0">
      <selection sqref="A1:G1"/>
    </sheetView>
  </sheetViews>
  <sheetFormatPr defaultColWidth="0" defaultRowHeight="14.4" zeroHeight="1" x14ac:dyDescent="0.3"/>
  <cols>
    <col min="1" max="1" width="8.88671875" style="235" customWidth="1"/>
    <col min="2" max="2" width="37.33203125" style="235" customWidth="1"/>
    <col min="3" max="3" width="44.109375" style="235" customWidth="1"/>
    <col min="4" max="4" width="45.88671875" style="235" customWidth="1"/>
    <col min="5" max="5" width="41.5546875" style="235" customWidth="1"/>
    <col min="6" max="7" width="44.109375" style="235" customWidth="1"/>
    <col min="8" max="8" width="8.88671875" style="235" customWidth="1"/>
    <col min="9" max="9" width="13.44140625" style="235" customWidth="1"/>
    <col min="10" max="10" width="9.44140625" style="235" hidden="1" customWidth="1"/>
    <col min="11" max="19" width="0" style="235" hidden="1" customWidth="1"/>
    <col min="20" max="16384" width="8.88671875" style="235" hidden="1"/>
  </cols>
  <sheetData>
    <row r="1" spans="1:19" ht="21" x14ac:dyDescent="0.4">
      <c r="A1" s="959" t="s">
        <v>624</v>
      </c>
      <c r="B1" s="959"/>
      <c r="C1" s="959"/>
      <c r="D1" s="959"/>
      <c r="E1" s="959"/>
      <c r="F1" s="959"/>
      <c r="G1" s="959"/>
    </row>
    <row r="2" spans="1:19" x14ac:dyDescent="0.3"/>
    <row r="3" spans="1:19" x14ac:dyDescent="0.3"/>
    <row r="4" spans="1:19" x14ac:dyDescent="0.3"/>
    <row r="5" spans="1:19" x14ac:dyDescent="0.3"/>
    <row r="6" spans="1:19" x14ac:dyDescent="0.3">
      <c r="G6" s="236"/>
    </row>
    <row r="7" spans="1:19" ht="21.6" thickBot="1" x14ac:dyDescent="0.45">
      <c r="B7" s="966" t="s">
        <v>510</v>
      </c>
      <c r="C7" s="966"/>
      <c r="D7" s="966"/>
      <c r="E7" s="966"/>
      <c r="F7" s="966"/>
      <c r="G7" s="341"/>
      <c r="H7" s="236"/>
      <c r="I7" s="236"/>
      <c r="J7" s="236"/>
      <c r="K7" s="236"/>
      <c r="L7" s="236"/>
      <c r="M7" s="236"/>
      <c r="N7" s="236"/>
      <c r="O7" s="236"/>
      <c r="P7" s="236"/>
      <c r="Q7" s="236"/>
      <c r="R7" s="236"/>
      <c r="S7" s="236"/>
    </row>
    <row r="8" spans="1:19" ht="24.6" customHeight="1" thickBot="1" x14ac:dyDescent="0.35">
      <c r="B8" s="246" t="s">
        <v>664</v>
      </c>
      <c r="C8" s="246" t="s">
        <v>665</v>
      </c>
      <c r="D8" s="246" t="s">
        <v>512</v>
      </c>
      <c r="E8" s="246" t="s">
        <v>511</v>
      </c>
      <c r="F8" s="247" t="s">
        <v>513</v>
      </c>
      <c r="G8" s="249"/>
    </row>
    <row r="9" spans="1:19" ht="31.2" x14ac:dyDescent="0.3">
      <c r="B9" s="960" t="s">
        <v>496</v>
      </c>
      <c r="C9" s="223" t="s">
        <v>497</v>
      </c>
      <c r="D9" s="229" t="s">
        <v>514</v>
      </c>
      <c r="E9" s="230" t="s">
        <v>522</v>
      </c>
      <c r="F9" s="230" t="s">
        <v>515</v>
      </c>
      <c r="G9" s="248"/>
    </row>
    <row r="10" spans="1:19" ht="15.6" x14ac:dyDescent="0.3">
      <c r="B10" s="961"/>
      <c r="C10" s="224" t="s">
        <v>445</v>
      </c>
      <c r="D10" s="230" t="s">
        <v>516</v>
      </c>
      <c r="E10" s="230" t="s">
        <v>523</v>
      </c>
      <c r="F10" s="230" t="s">
        <v>518</v>
      </c>
      <c r="G10" s="248"/>
    </row>
    <row r="11" spans="1:19" ht="15.6" x14ac:dyDescent="0.3">
      <c r="B11" s="961"/>
      <c r="C11" s="224" t="s">
        <v>442</v>
      </c>
      <c r="D11" s="230" t="s">
        <v>517</v>
      </c>
      <c r="E11" s="230" t="s">
        <v>519</v>
      </c>
      <c r="F11" s="230" t="s">
        <v>537</v>
      </c>
      <c r="G11" s="248"/>
    </row>
    <row r="12" spans="1:19" ht="31.2" x14ac:dyDescent="0.3">
      <c r="B12" s="961"/>
      <c r="C12" s="224" t="s">
        <v>441</v>
      </c>
      <c r="D12" s="230" t="s">
        <v>517</v>
      </c>
      <c r="E12" s="230" t="s">
        <v>519</v>
      </c>
      <c r="F12" s="230" t="s">
        <v>538</v>
      </c>
      <c r="G12" s="248"/>
    </row>
    <row r="13" spans="1:19" ht="15.6" x14ac:dyDescent="0.3">
      <c r="B13" s="961"/>
      <c r="C13" s="224" t="s">
        <v>543</v>
      </c>
      <c r="D13" s="230" t="s">
        <v>520</v>
      </c>
      <c r="E13" s="230" t="s">
        <v>521</v>
      </c>
      <c r="F13" s="230" t="s">
        <v>518</v>
      </c>
      <c r="G13" s="248"/>
    </row>
    <row r="14" spans="1:19" ht="31.2" x14ac:dyDescent="0.3">
      <c r="B14" s="961"/>
      <c r="C14" s="224" t="s">
        <v>544</v>
      </c>
      <c r="D14" s="230" t="s">
        <v>527</v>
      </c>
      <c r="E14" s="230" t="s">
        <v>528</v>
      </c>
      <c r="F14" s="230" t="s">
        <v>539</v>
      </c>
      <c r="G14" s="248"/>
    </row>
    <row r="15" spans="1:19" ht="16.2" thickBot="1" x14ac:dyDescent="0.35">
      <c r="B15" s="961"/>
      <c r="C15" s="225" t="s">
        <v>545</v>
      </c>
      <c r="D15" s="231" t="s">
        <v>540</v>
      </c>
      <c r="E15" s="231" t="s">
        <v>541</v>
      </c>
      <c r="F15" s="231" t="s">
        <v>542</v>
      </c>
      <c r="G15" s="248"/>
    </row>
    <row r="16" spans="1:19" ht="55.95" customHeight="1" x14ac:dyDescent="0.3">
      <c r="B16" s="962" t="s">
        <v>484</v>
      </c>
      <c r="C16" s="237" t="s">
        <v>495</v>
      </c>
      <c r="D16" s="238" t="s">
        <v>529</v>
      </c>
      <c r="E16" s="238" t="s">
        <v>531</v>
      </c>
      <c r="F16" s="238" t="s">
        <v>532</v>
      </c>
      <c r="G16" s="248"/>
    </row>
    <row r="17" spans="2:7" ht="47.4" thickBot="1" x14ac:dyDescent="0.35">
      <c r="B17" s="963"/>
      <c r="C17" s="239" t="s">
        <v>444</v>
      </c>
      <c r="D17" s="240" t="s">
        <v>530</v>
      </c>
      <c r="E17" s="240" t="s">
        <v>536</v>
      </c>
      <c r="F17" s="240" t="s">
        <v>532</v>
      </c>
      <c r="G17" s="248"/>
    </row>
    <row r="18" spans="2:7" ht="31.2" x14ac:dyDescent="0.3">
      <c r="B18" s="964" t="s">
        <v>443</v>
      </c>
      <c r="C18" s="226" t="s">
        <v>431</v>
      </c>
      <c r="D18" s="232" t="s">
        <v>547</v>
      </c>
      <c r="E18" s="232" t="s">
        <v>546</v>
      </c>
      <c r="F18" s="232" t="s">
        <v>518</v>
      </c>
      <c r="G18" s="248"/>
    </row>
    <row r="19" spans="2:7" ht="31.2" x14ac:dyDescent="0.3">
      <c r="B19" s="965"/>
      <c r="C19" s="227" t="s">
        <v>432</v>
      </c>
      <c r="D19" s="233" t="s">
        <v>553</v>
      </c>
      <c r="E19" s="233" t="s">
        <v>604</v>
      </c>
      <c r="F19" s="233" t="s">
        <v>552</v>
      </c>
      <c r="G19" s="248"/>
    </row>
    <row r="20" spans="2:7" ht="31.2" x14ac:dyDescent="0.3">
      <c r="B20" s="965"/>
      <c r="C20" s="227" t="s">
        <v>433</v>
      </c>
      <c r="D20" s="233" t="s">
        <v>554</v>
      </c>
      <c r="E20" s="233" t="s">
        <v>604</v>
      </c>
      <c r="F20" s="233" t="s">
        <v>552</v>
      </c>
      <c r="G20" s="248"/>
    </row>
    <row r="21" spans="2:7" ht="31.2" x14ac:dyDescent="0.3">
      <c r="B21" s="965"/>
      <c r="C21" s="227" t="s">
        <v>434</v>
      </c>
      <c r="D21" s="233" t="s">
        <v>555</v>
      </c>
      <c r="E21" s="233" t="s">
        <v>604</v>
      </c>
      <c r="F21" s="233" t="s">
        <v>552</v>
      </c>
      <c r="G21" s="248"/>
    </row>
    <row r="22" spans="2:7" ht="15.6" x14ac:dyDescent="0.3">
      <c r="B22" s="965"/>
      <c r="C22" s="227" t="s">
        <v>440</v>
      </c>
      <c r="D22" s="233" t="s">
        <v>556</v>
      </c>
      <c r="E22" s="233" t="s">
        <v>548</v>
      </c>
      <c r="F22" s="233" t="s">
        <v>552</v>
      </c>
      <c r="G22" s="248"/>
    </row>
    <row r="23" spans="2:7" ht="15.6" x14ac:dyDescent="0.3">
      <c r="B23" s="965"/>
      <c r="C23" s="227" t="s">
        <v>435</v>
      </c>
      <c r="D23" s="233" t="s">
        <v>557</v>
      </c>
      <c r="E23" s="233" t="s">
        <v>605</v>
      </c>
      <c r="F23" s="233" t="s">
        <v>552</v>
      </c>
      <c r="G23" s="248"/>
    </row>
    <row r="24" spans="2:7" ht="16.2" thickBot="1" x14ac:dyDescent="0.35">
      <c r="B24" s="965"/>
      <c r="C24" s="228" t="s">
        <v>436</v>
      </c>
      <c r="D24" s="234" t="s">
        <v>558</v>
      </c>
      <c r="E24" s="234" t="s">
        <v>549</v>
      </c>
      <c r="F24" s="233" t="s">
        <v>552</v>
      </c>
      <c r="G24" s="248"/>
    </row>
    <row r="25" spans="2:7" ht="24" customHeight="1" thickBot="1" x14ac:dyDescent="0.35">
      <c r="B25" s="243" t="s">
        <v>499</v>
      </c>
      <c r="C25" s="241" t="s">
        <v>479</v>
      </c>
      <c r="D25" s="242" t="s">
        <v>559</v>
      </c>
      <c r="E25" s="242" t="s">
        <v>550</v>
      </c>
      <c r="F25" s="242" t="s">
        <v>551</v>
      </c>
      <c r="G25" s="248"/>
    </row>
    <row r="26" spans="2:7" ht="14.7" customHeight="1" x14ac:dyDescent="0.3"/>
    <row r="27" spans="2:7" ht="3" customHeight="1" x14ac:dyDescent="0.3"/>
    <row r="28" spans="2:7" ht="22.95" customHeight="1" thickBot="1" x14ac:dyDescent="0.35">
      <c r="B28" s="967" t="s">
        <v>535</v>
      </c>
      <c r="C28" s="967"/>
      <c r="D28" s="967"/>
      <c r="E28" s="967"/>
      <c r="F28" s="967"/>
      <c r="G28" s="967"/>
    </row>
    <row r="29" spans="2:7" ht="21" customHeight="1" thickBot="1" x14ac:dyDescent="0.35">
      <c r="B29" s="246" t="s">
        <v>664</v>
      </c>
      <c r="C29" s="246" t="s">
        <v>665</v>
      </c>
      <c r="D29" s="246" t="s">
        <v>505</v>
      </c>
      <c r="E29" s="246" t="s">
        <v>506</v>
      </c>
      <c r="F29" s="246" t="s">
        <v>507</v>
      </c>
      <c r="G29" s="247" t="s">
        <v>572</v>
      </c>
    </row>
    <row r="30" spans="2:7" ht="14.7" customHeight="1" x14ac:dyDescent="0.3">
      <c r="B30" s="960" t="s">
        <v>496</v>
      </c>
      <c r="C30" s="223" t="s">
        <v>497</v>
      </c>
      <c r="D30" s="230" t="s">
        <v>500</v>
      </c>
      <c r="E30" s="230" t="s">
        <v>500</v>
      </c>
      <c r="F30" s="230" t="s">
        <v>462</v>
      </c>
      <c r="G30" s="230" t="s">
        <v>500</v>
      </c>
    </row>
    <row r="31" spans="2:7" ht="15" customHeight="1" x14ac:dyDescent="0.3">
      <c r="B31" s="961"/>
      <c r="C31" s="224" t="s">
        <v>445</v>
      </c>
      <c r="D31" s="230" t="s">
        <v>500</v>
      </c>
      <c r="E31" s="230" t="s">
        <v>500</v>
      </c>
      <c r="F31" s="230" t="s">
        <v>462</v>
      </c>
      <c r="G31" s="230" t="s">
        <v>500</v>
      </c>
    </row>
    <row r="32" spans="2:7" ht="15.6" x14ac:dyDescent="0.3">
      <c r="B32" s="961"/>
      <c r="C32" s="224" t="s">
        <v>442</v>
      </c>
      <c r="D32" s="230" t="s">
        <v>500</v>
      </c>
      <c r="E32" s="230" t="s">
        <v>462</v>
      </c>
      <c r="F32" s="230" t="s">
        <v>462</v>
      </c>
      <c r="G32" s="230" t="s">
        <v>462</v>
      </c>
    </row>
    <row r="33" spans="2:7" ht="15.6" x14ac:dyDescent="0.3">
      <c r="B33" s="961"/>
      <c r="C33" s="224" t="s">
        <v>441</v>
      </c>
      <c r="D33" s="230" t="s">
        <v>500</v>
      </c>
      <c r="E33" s="230" t="s">
        <v>462</v>
      </c>
      <c r="F33" s="230" t="s">
        <v>462</v>
      </c>
      <c r="G33" s="230" t="s">
        <v>462</v>
      </c>
    </row>
    <row r="34" spans="2:7" ht="15.6" x14ac:dyDescent="0.3">
      <c r="B34" s="961"/>
      <c r="C34" s="224" t="s">
        <v>543</v>
      </c>
      <c r="D34" s="230" t="s">
        <v>500</v>
      </c>
      <c r="E34" s="230" t="s">
        <v>500</v>
      </c>
      <c r="F34" s="230" t="s">
        <v>508</v>
      </c>
      <c r="G34" s="230" t="s">
        <v>508</v>
      </c>
    </row>
    <row r="35" spans="2:7" ht="15.6" x14ac:dyDescent="0.3">
      <c r="B35" s="961"/>
      <c r="C35" s="224" t="s">
        <v>544</v>
      </c>
      <c r="D35" s="230" t="s">
        <v>500</v>
      </c>
      <c r="E35" s="230" t="s">
        <v>500</v>
      </c>
      <c r="F35" s="230" t="s">
        <v>508</v>
      </c>
      <c r="G35" s="230" t="s">
        <v>508</v>
      </c>
    </row>
    <row r="36" spans="2:7" ht="16.2" thickBot="1" x14ac:dyDescent="0.35">
      <c r="B36" s="961"/>
      <c r="C36" s="225" t="s">
        <v>545</v>
      </c>
      <c r="D36" s="231" t="s">
        <v>500</v>
      </c>
      <c r="E36" s="231" t="s">
        <v>500</v>
      </c>
      <c r="F36" s="231" t="s">
        <v>508</v>
      </c>
      <c r="G36" s="231" t="s">
        <v>508</v>
      </c>
    </row>
    <row r="37" spans="2:7" ht="15.6" x14ac:dyDescent="0.3">
      <c r="B37" s="962" t="s">
        <v>484</v>
      </c>
      <c r="C37" s="237" t="s">
        <v>495</v>
      </c>
      <c r="D37" s="238" t="s">
        <v>501</v>
      </c>
      <c r="E37" s="238" t="s">
        <v>501</v>
      </c>
      <c r="F37" s="238" t="s">
        <v>509</v>
      </c>
      <c r="G37" s="238" t="s">
        <v>509</v>
      </c>
    </row>
    <row r="38" spans="2:7" ht="47.4" thickBot="1" x14ac:dyDescent="0.35">
      <c r="B38" s="963"/>
      <c r="C38" s="239" t="s">
        <v>444</v>
      </c>
      <c r="D38" s="240" t="s">
        <v>503</v>
      </c>
      <c r="E38" s="240" t="s">
        <v>504</v>
      </c>
      <c r="F38" s="240" t="s">
        <v>509</v>
      </c>
      <c r="G38" s="240" t="s">
        <v>509</v>
      </c>
    </row>
    <row r="39" spans="2:7" ht="31.2" x14ac:dyDescent="0.3">
      <c r="B39" s="964" t="s">
        <v>443</v>
      </c>
      <c r="C39" s="226" t="s">
        <v>431</v>
      </c>
      <c r="D39" s="232" t="s">
        <v>502</v>
      </c>
      <c r="E39" s="232" t="s">
        <v>462</v>
      </c>
      <c r="F39" s="232" t="s">
        <v>500</v>
      </c>
      <c r="G39" s="232" t="s">
        <v>462</v>
      </c>
    </row>
    <row r="40" spans="2:7" ht="15.6" x14ac:dyDescent="0.3">
      <c r="B40" s="965"/>
      <c r="C40" s="227" t="s">
        <v>432</v>
      </c>
      <c r="D40" s="233" t="s">
        <v>462</v>
      </c>
      <c r="E40" s="233" t="s">
        <v>462</v>
      </c>
      <c r="F40" s="233" t="s">
        <v>500</v>
      </c>
      <c r="G40" s="233" t="s">
        <v>462</v>
      </c>
    </row>
    <row r="41" spans="2:7" ht="15.6" x14ac:dyDescent="0.3">
      <c r="B41" s="965"/>
      <c r="C41" s="227" t="s">
        <v>433</v>
      </c>
      <c r="D41" s="233" t="s">
        <v>462</v>
      </c>
      <c r="E41" s="233" t="s">
        <v>462</v>
      </c>
      <c r="F41" s="233" t="s">
        <v>462</v>
      </c>
      <c r="G41" s="233" t="s">
        <v>462</v>
      </c>
    </row>
    <row r="42" spans="2:7" ht="15.6" x14ac:dyDescent="0.3">
      <c r="B42" s="965"/>
      <c r="C42" s="227" t="s">
        <v>434</v>
      </c>
      <c r="D42" s="233" t="s">
        <v>462</v>
      </c>
      <c r="E42" s="233" t="s">
        <v>462</v>
      </c>
      <c r="F42" s="233" t="s">
        <v>462</v>
      </c>
      <c r="G42" s="233" t="s">
        <v>462</v>
      </c>
    </row>
    <row r="43" spans="2:7" ht="15.6" x14ac:dyDescent="0.3">
      <c r="B43" s="965"/>
      <c r="C43" s="227" t="s">
        <v>440</v>
      </c>
      <c r="D43" s="233" t="s">
        <v>462</v>
      </c>
      <c r="E43" s="233" t="s">
        <v>462</v>
      </c>
      <c r="F43" s="233" t="s">
        <v>462</v>
      </c>
      <c r="G43" s="233" t="s">
        <v>462</v>
      </c>
    </row>
    <row r="44" spans="2:7" ht="15.6" x14ac:dyDescent="0.3">
      <c r="B44" s="965"/>
      <c r="C44" s="227" t="s">
        <v>435</v>
      </c>
      <c r="D44" s="233" t="s">
        <v>462</v>
      </c>
      <c r="E44" s="233" t="s">
        <v>462</v>
      </c>
      <c r="F44" s="233" t="s">
        <v>462</v>
      </c>
      <c r="G44" s="233" t="s">
        <v>462</v>
      </c>
    </row>
    <row r="45" spans="2:7" ht="16.2" thickBot="1" x14ac:dyDescent="0.35">
      <c r="B45" s="965"/>
      <c r="C45" s="228" t="s">
        <v>436</v>
      </c>
      <c r="D45" s="234" t="s">
        <v>462</v>
      </c>
      <c r="E45" s="234" t="s">
        <v>462</v>
      </c>
      <c r="F45" s="234" t="s">
        <v>462</v>
      </c>
      <c r="G45" s="234" t="s">
        <v>462</v>
      </c>
    </row>
    <row r="46" spans="2:7" ht="18.600000000000001" thickBot="1" x14ac:dyDescent="0.35">
      <c r="B46" s="243" t="s">
        <v>499</v>
      </c>
      <c r="C46" s="241" t="s">
        <v>479</v>
      </c>
      <c r="D46" s="242" t="s">
        <v>462</v>
      </c>
      <c r="E46" s="242" t="s">
        <v>500</v>
      </c>
      <c r="F46" s="242" t="s">
        <v>500</v>
      </c>
      <c r="G46" s="242" t="s">
        <v>500</v>
      </c>
    </row>
    <row r="47" spans="2:7" x14ac:dyDescent="0.3"/>
    <row r="48" spans="2:7" x14ac:dyDescent="0.3"/>
  </sheetData>
  <sheetProtection algorithmName="SHA-512" hashValue="IRf31bJ4bGvqVaJyz8HGRTr7VYjbxXHfBz0ZU2tsFpv3qDEa7rLJ/EMV+SXpGffY5GZ1JfDQQUJEks3YNW1e4w==" saltValue="LlwMQSGPTx3UGMwhB95dlw==" spinCount="100000" sheet="1" objects="1" scenarios="1" selectLockedCells="1" selectUnlockedCells="1"/>
  <mergeCells count="9">
    <mergeCell ref="A1:G1"/>
    <mergeCell ref="B30:B36"/>
    <mergeCell ref="B37:B38"/>
    <mergeCell ref="B39:B45"/>
    <mergeCell ref="B9:B15"/>
    <mergeCell ref="B18:B24"/>
    <mergeCell ref="B16:B17"/>
    <mergeCell ref="B7:F7"/>
    <mergeCell ref="B28:G2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7" tint="0.59999389629810485"/>
  </sheetPr>
  <dimension ref="A1:DA99"/>
  <sheetViews>
    <sheetView zoomScaleNormal="100" zoomScaleSheetLayoutView="40" workbookViewId="0">
      <selection activeCell="E16" sqref="E16"/>
    </sheetView>
  </sheetViews>
  <sheetFormatPr defaultColWidth="8.5546875" defaultRowHeight="14.4" x14ac:dyDescent="0.3"/>
  <cols>
    <col min="1" max="1" width="8.5546875" customWidth="1"/>
    <col min="2" max="2" width="14.88671875" customWidth="1"/>
    <col min="3" max="3" width="53.109375" bestFit="1" customWidth="1"/>
    <col min="4" max="4" width="30.6640625" customWidth="1"/>
    <col min="5" max="5" width="35" bestFit="1" customWidth="1"/>
    <col min="6" max="6" width="20.88671875" customWidth="1"/>
    <col min="7" max="7" width="19.88671875" customWidth="1"/>
    <col min="8" max="8" width="20.5546875" bestFit="1" customWidth="1"/>
    <col min="9" max="9" width="49.33203125" bestFit="1" customWidth="1"/>
    <col min="10" max="10" width="23.88671875" customWidth="1"/>
    <col min="11" max="11" width="24.5546875" customWidth="1"/>
    <col min="12" max="12" width="23.109375" bestFit="1" customWidth="1"/>
    <col min="13" max="13" width="27.109375" bestFit="1" customWidth="1"/>
    <col min="14" max="14" width="20.109375" bestFit="1" customWidth="1"/>
    <col min="15" max="15" width="20.44140625" bestFit="1" customWidth="1"/>
    <col min="16" max="16" width="38.44140625" bestFit="1" customWidth="1"/>
    <col min="17" max="17" width="20.109375" customWidth="1"/>
    <col min="18" max="18" width="20.109375" bestFit="1" customWidth="1"/>
    <col min="19" max="19" width="19.5546875" bestFit="1" customWidth="1"/>
    <col min="20" max="20" width="23" bestFit="1" customWidth="1"/>
    <col min="21" max="21" width="19.5546875" bestFit="1" customWidth="1"/>
    <col min="22" max="23" width="20.109375" customWidth="1"/>
    <col min="24" max="25" width="20.109375" bestFit="1" customWidth="1"/>
    <col min="26" max="27" width="19.5546875" bestFit="1" customWidth="1"/>
    <col min="28" max="28" width="20.109375" bestFit="1" customWidth="1"/>
    <col min="29" max="29" width="19.5546875" bestFit="1" customWidth="1"/>
    <col min="30" max="30" width="20.109375" bestFit="1" customWidth="1"/>
    <col min="31" max="31" width="19.5546875" bestFit="1" customWidth="1"/>
    <col min="32" max="32" width="19.109375" bestFit="1" customWidth="1"/>
    <col min="33" max="43" width="16.5546875" customWidth="1"/>
    <col min="44" max="53" width="13.5546875" customWidth="1"/>
    <col min="54" max="54" width="11.44140625" customWidth="1"/>
    <col min="55" max="55" width="11.44140625" style="195" customWidth="1"/>
    <col min="56" max="56" width="11.44140625" style="195" hidden="1" customWidth="1"/>
    <col min="57" max="57" width="13.88671875" style="195" hidden="1" customWidth="1"/>
    <col min="58" max="58" width="19.44140625" style="195" hidden="1" customWidth="1"/>
    <col min="59" max="59" width="13.44140625" style="195" hidden="1" customWidth="1"/>
    <col min="60" max="60" width="13.109375" style="195" hidden="1" customWidth="1"/>
    <col min="61" max="63" width="11.44140625" style="195" hidden="1" customWidth="1"/>
    <col min="64" max="64" width="11.5546875" style="195" hidden="1" customWidth="1"/>
    <col min="65" max="105" width="11.44140625" style="195" hidden="1" customWidth="1"/>
    <col min="106" max="16384" width="8.5546875" style="195"/>
  </cols>
  <sheetData>
    <row r="1" spans="1:64" ht="17.399999999999999" x14ac:dyDescent="0.3">
      <c r="A1" s="971" t="s">
        <v>625</v>
      </c>
      <c r="B1" s="971"/>
      <c r="C1" s="971"/>
      <c r="D1" s="971"/>
      <c r="E1" s="971"/>
      <c r="F1" s="971"/>
      <c r="G1" s="971"/>
      <c r="H1" s="971"/>
      <c r="I1" s="971"/>
      <c r="J1" s="971"/>
      <c r="K1" s="971"/>
      <c r="L1" s="971"/>
      <c r="M1" s="971"/>
      <c r="N1" s="971"/>
      <c r="O1" s="971"/>
      <c r="P1" s="971"/>
      <c r="Q1" s="971"/>
      <c r="R1" s="971"/>
      <c r="S1" s="971"/>
      <c r="T1" s="971"/>
      <c r="U1" s="971"/>
      <c r="V1" s="971"/>
      <c r="W1" s="971"/>
      <c r="X1" s="971"/>
      <c r="Y1" s="971"/>
      <c r="Z1" s="971"/>
      <c r="AA1" s="971"/>
      <c r="AB1" s="971"/>
      <c r="AC1" s="971"/>
      <c r="AD1" s="971"/>
      <c r="AE1" s="971"/>
      <c r="AF1" s="971"/>
      <c r="AG1" s="971"/>
      <c r="AH1" s="971"/>
      <c r="AI1" s="971"/>
      <c r="AJ1" s="971"/>
      <c r="AK1" s="971"/>
      <c r="AL1" s="971"/>
      <c r="AM1" s="971"/>
      <c r="AN1" s="971"/>
      <c r="AO1" s="971"/>
      <c r="AP1" s="971"/>
      <c r="AQ1" s="971"/>
      <c r="AR1" s="971"/>
      <c r="AS1" s="971"/>
      <c r="AT1" s="971"/>
      <c r="AU1" s="971"/>
      <c r="AV1" s="971"/>
      <c r="AW1" s="971"/>
      <c r="AX1" s="971"/>
      <c r="AY1" s="971"/>
      <c r="AZ1" s="971"/>
      <c r="BA1" s="971"/>
      <c r="BB1" s="971"/>
      <c r="BC1" s="971"/>
      <c r="BD1" s="971"/>
      <c r="BE1" s="971"/>
      <c r="BF1" s="971"/>
      <c r="BG1" s="971"/>
      <c r="BH1" s="971"/>
      <c r="BI1" s="971"/>
      <c r="BJ1" s="971"/>
      <c r="BK1" s="971"/>
      <c r="BL1" s="971"/>
    </row>
    <row r="2" spans="1:64" x14ac:dyDescent="0.3">
      <c r="A2" s="195"/>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row>
    <row r="3" spans="1:64" ht="18" x14ac:dyDescent="0.3">
      <c r="A3" s="195"/>
      <c r="B3" s="195"/>
      <c r="C3" s="195"/>
      <c r="D3" s="975" t="s">
        <v>600</v>
      </c>
      <c r="E3" s="976"/>
      <c r="F3" s="413" t="s">
        <v>489</v>
      </c>
      <c r="G3" s="414" t="s">
        <v>488</v>
      </c>
      <c r="I3" s="972" t="str">
        <f>"Unlevered Returns - "&amp;E28&amp;" Years"</f>
        <v>Unlevered Returns - 20 Years</v>
      </c>
      <c r="J3" s="973"/>
      <c r="K3" s="974"/>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row>
    <row r="4" spans="1:64" ht="15.6" x14ac:dyDescent="0.3">
      <c r="A4" s="195"/>
      <c r="B4" s="195"/>
      <c r="C4" s="415"/>
      <c r="D4" s="416" t="s">
        <v>566</v>
      </c>
      <c r="E4" s="417"/>
      <c r="F4" s="330">
        <f>K34/$E$33</f>
        <v>1556423.4324076234</v>
      </c>
      <c r="G4" s="331">
        <f>K34/$E$31</f>
        <v>3112846.8648152468</v>
      </c>
      <c r="H4" s="195"/>
      <c r="I4" s="418" t="s">
        <v>156</v>
      </c>
      <c r="J4" s="419" t="s">
        <v>9</v>
      </c>
      <c r="K4" s="211">
        <f>IFERROR(IRR!F18,"")</f>
        <v>4.4986550669087855E-2</v>
      </c>
      <c r="L4" s="195"/>
      <c r="M4" s="195"/>
      <c r="N4" s="195"/>
      <c r="O4" s="195"/>
      <c r="P4" s="195"/>
      <c r="Q4" s="195"/>
      <c r="R4" s="195"/>
      <c r="S4" s="195"/>
      <c r="T4" s="195"/>
      <c r="U4" s="195"/>
      <c r="V4" s="195"/>
      <c r="W4" s="195"/>
      <c r="X4" s="195"/>
      <c r="Y4" s="195"/>
      <c r="Z4" s="195"/>
      <c r="AA4" s="195"/>
      <c r="AB4" s="195"/>
      <c r="AC4" s="195"/>
      <c r="AD4" s="195"/>
      <c r="AE4" s="195"/>
      <c r="AF4" s="195"/>
      <c r="AG4" s="195"/>
      <c r="AH4" s="195"/>
      <c r="AI4" s="195"/>
      <c r="AJ4" s="195"/>
      <c r="AK4" s="195"/>
      <c r="AL4" s="195"/>
      <c r="AM4" s="195"/>
      <c r="AN4" s="195"/>
      <c r="AO4" s="195"/>
      <c r="AP4" s="195"/>
      <c r="AQ4" s="195"/>
      <c r="AR4" s="195"/>
      <c r="AS4" s="195"/>
      <c r="AT4" s="195"/>
      <c r="AU4" s="195"/>
      <c r="AV4" s="195"/>
      <c r="AW4" s="195"/>
      <c r="AX4" s="195"/>
      <c r="AY4" s="195"/>
      <c r="AZ4" s="195"/>
      <c r="BA4" s="195"/>
      <c r="BB4" s="195"/>
    </row>
    <row r="5" spans="1:64" ht="15.6" x14ac:dyDescent="0.3">
      <c r="A5" s="195"/>
      <c r="B5" s="195"/>
      <c r="C5" s="195"/>
      <c r="D5" s="420" t="s">
        <v>567</v>
      </c>
      <c r="E5" s="421"/>
      <c r="F5" s="332">
        <f>K70/$E$33</f>
        <v>1165965.6176504651</v>
      </c>
      <c r="G5" s="333">
        <f>K70/$E$31</f>
        <v>2331931.2353009302</v>
      </c>
      <c r="H5" s="195"/>
      <c r="I5" s="418" t="s">
        <v>10</v>
      </c>
      <c r="J5" s="419" t="s">
        <v>7</v>
      </c>
      <c r="K5" s="212">
        <f>IFERROR(IRR!E18,"")</f>
        <v>-3904.5781475715798</v>
      </c>
      <c r="L5" s="422" t="s">
        <v>533</v>
      </c>
      <c r="M5" s="195"/>
      <c r="N5" s="195"/>
      <c r="O5" s="195"/>
      <c r="P5" s="195"/>
      <c r="Q5" s="195"/>
      <c r="R5" s="195"/>
      <c r="S5" s="195"/>
      <c r="T5" s="195"/>
      <c r="U5" s="195"/>
      <c r="V5" s="195"/>
      <c r="W5" s="195"/>
      <c r="X5" s="195"/>
      <c r="Y5" s="195"/>
      <c r="Z5" s="195"/>
      <c r="AA5" s="195"/>
      <c r="AB5" s="195"/>
      <c r="AC5" s="195"/>
      <c r="AD5" s="195"/>
      <c r="AE5" s="195"/>
      <c r="AF5" s="195"/>
      <c r="AG5" s="195"/>
      <c r="AH5" s="195"/>
      <c r="AI5" s="195"/>
      <c r="AJ5" s="195"/>
      <c r="AK5" s="195"/>
      <c r="AL5" s="195"/>
      <c r="AM5" s="195"/>
      <c r="AN5" s="195"/>
      <c r="AO5" s="195"/>
      <c r="AP5" s="195"/>
      <c r="AQ5" s="195"/>
      <c r="AR5" s="195"/>
      <c r="AS5" s="195"/>
      <c r="AT5" s="195"/>
      <c r="AU5" s="195"/>
      <c r="AV5" s="195"/>
      <c r="AW5" s="195"/>
      <c r="AX5" s="195"/>
      <c r="AY5" s="195"/>
      <c r="AZ5" s="195"/>
      <c r="BA5" s="195"/>
      <c r="BB5" s="195"/>
    </row>
    <row r="6" spans="1:64" ht="15.6" x14ac:dyDescent="0.3">
      <c r="A6" s="195"/>
      <c r="B6" s="195"/>
      <c r="C6" s="195"/>
      <c r="D6" s="423" t="s">
        <v>568</v>
      </c>
      <c r="E6" s="424"/>
      <c r="F6" s="334">
        <f>IF($E$24="Y",IF(F4-F5&lt;=0,0,F4-F5),"NA")</f>
        <v>390457.81475715828</v>
      </c>
      <c r="G6" s="335">
        <f>IF($E$24="Y",IF(G4-G5&lt;=0,0,G4-G5),"NA")</f>
        <v>780915.62951431656</v>
      </c>
      <c r="H6" s="195"/>
      <c r="I6" s="426"/>
      <c r="J6" s="427"/>
      <c r="K6" s="428"/>
      <c r="L6" s="195"/>
      <c r="M6" s="195"/>
      <c r="N6" s="195"/>
      <c r="O6" s="195"/>
      <c r="P6" s="195"/>
      <c r="Q6" s="195"/>
      <c r="R6" s="195"/>
      <c r="S6" s="195"/>
      <c r="T6" s="195"/>
      <c r="U6" s="195"/>
      <c r="V6" s="195"/>
      <c r="W6" s="195"/>
      <c r="X6" s="195"/>
      <c r="Y6" s="195"/>
      <c r="Z6" s="195"/>
      <c r="AA6" s="195"/>
      <c r="AB6" s="195"/>
      <c r="AC6" s="195"/>
      <c r="AD6" s="195"/>
      <c r="AE6" s="195"/>
      <c r="AF6" s="195"/>
      <c r="AG6" s="195"/>
      <c r="AH6" s="195"/>
      <c r="AI6" s="195"/>
      <c r="AJ6" s="195"/>
      <c r="AK6" s="195"/>
      <c r="AL6" s="195"/>
      <c r="AM6" s="195"/>
      <c r="AN6" s="195"/>
      <c r="AO6" s="195"/>
      <c r="AP6" s="195"/>
      <c r="AQ6" s="195"/>
      <c r="AR6" s="195"/>
      <c r="AS6" s="195"/>
      <c r="AT6" s="195"/>
      <c r="AU6" s="195"/>
      <c r="AV6" s="195"/>
      <c r="AW6" s="195"/>
      <c r="AX6" s="195"/>
      <c r="AY6" s="195"/>
      <c r="AZ6" s="195"/>
      <c r="BA6" s="195"/>
      <c r="BB6" s="195"/>
    </row>
    <row r="7" spans="1:64" ht="18" x14ac:dyDescent="0.35">
      <c r="A7" s="195"/>
      <c r="B7" s="195"/>
      <c r="C7" s="429"/>
      <c r="D7" s="969" t="s">
        <v>601</v>
      </c>
      <c r="E7" s="969"/>
      <c r="F7" s="970"/>
      <c r="G7" s="430"/>
      <c r="H7" s="195"/>
      <c r="I7" s="972" t="str">
        <f>"Levered Returns - "&amp;E28&amp;" Years"</f>
        <v>Levered Returns - 20 Years</v>
      </c>
      <c r="J7" s="973"/>
      <c r="K7" s="974"/>
      <c r="L7" s="195"/>
      <c r="M7" s="195"/>
      <c r="N7" s="195"/>
      <c r="O7" s="195"/>
      <c r="P7" s="195"/>
      <c r="Q7" s="195"/>
      <c r="R7" s="195"/>
      <c r="S7" s="195"/>
      <c r="T7" s="195"/>
      <c r="U7" s="195"/>
      <c r="V7" s="195"/>
      <c r="W7" s="195"/>
      <c r="X7" s="195"/>
      <c r="Y7" s="195"/>
      <c r="Z7" s="195"/>
      <c r="AA7" s="195"/>
      <c r="AB7" s="195"/>
      <c r="AC7" s="195"/>
      <c r="AD7" s="195"/>
      <c r="AE7" s="195"/>
      <c r="AF7" s="195"/>
      <c r="AG7" s="195"/>
      <c r="AH7" s="195"/>
      <c r="AI7" s="195"/>
      <c r="AJ7" s="195"/>
      <c r="AK7" s="195"/>
      <c r="AL7" s="195"/>
      <c r="AM7" s="195"/>
      <c r="AN7" s="195"/>
      <c r="AO7" s="195"/>
      <c r="AP7" s="195"/>
      <c r="AQ7" s="195"/>
      <c r="AR7" s="195"/>
      <c r="AS7" s="195"/>
      <c r="AT7" s="195"/>
      <c r="AU7" s="195"/>
      <c r="AV7" s="195"/>
      <c r="AW7" s="195"/>
      <c r="AX7" s="195"/>
      <c r="AY7" s="195"/>
      <c r="AZ7" s="195"/>
      <c r="BA7" s="195"/>
      <c r="BB7" s="195"/>
    </row>
    <row r="8" spans="1:64" ht="18" x14ac:dyDescent="0.35">
      <c r="A8" s="195"/>
      <c r="B8" s="431"/>
      <c r="C8" s="195"/>
      <c r="D8" s="416" t="s">
        <v>566</v>
      </c>
      <c r="E8" s="417" t="s">
        <v>7</v>
      </c>
      <c r="F8" s="330">
        <f>K34</f>
        <v>15564.234324076235</v>
      </c>
      <c r="G8" s="432"/>
      <c r="H8" s="195"/>
      <c r="I8" s="418" t="s">
        <v>156</v>
      </c>
      <c r="J8" s="419" t="s">
        <v>9</v>
      </c>
      <c r="K8" s="213">
        <f>IFERROR(IRR!F30,"")</f>
        <v>4.4986550669087855E-2</v>
      </c>
      <c r="L8" s="195"/>
      <c r="M8" s="195"/>
      <c r="N8" s="195"/>
      <c r="O8" s="195"/>
      <c r="P8" s="195"/>
      <c r="Q8" s="195"/>
      <c r="R8" s="195"/>
      <c r="S8" s="195"/>
      <c r="T8" s="195"/>
      <c r="U8" s="195"/>
      <c r="V8" s="195"/>
      <c r="W8" s="195"/>
      <c r="X8" s="195"/>
      <c r="Y8" s="195"/>
      <c r="Z8" s="195"/>
      <c r="AA8" s="195"/>
      <c r="AB8" s="195"/>
      <c r="AC8" s="195"/>
      <c r="AD8" s="195"/>
      <c r="AE8" s="195"/>
      <c r="AF8" s="195"/>
      <c r="AG8" s="195"/>
      <c r="AH8" s="195"/>
      <c r="AI8" s="195"/>
      <c r="AJ8" s="195"/>
      <c r="AK8" s="195"/>
      <c r="AL8" s="195"/>
      <c r="AM8" s="195"/>
      <c r="AN8" s="195"/>
      <c r="AO8" s="195"/>
      <c r="AP8" s="195"/>
      <c r="AQ8" s="195"/>
      <c r="AR8" s="195"/>
      <c r="AS8" s="195"/>
      <c r="AT8" s="195"/>
      <c r="AU8" s="195"/>
      <c r="AV8" s="195"/>
      <c r="AW8" s="195"/>
      <c r="AX8" s="195"/>
      <c r="AY8" s="195"/>
      <c r="AZ8" s="195"/>
      <c r="BA8" s="195"/>
      <c r="BB8" s="195"/>
    </row>
    <row r="9" spans="1:64" ht="18" x14ac:dyDescent="0.35">
      <c r="A9" s="195"/>
      <c r="B9" s="195"/>
      <c r="C9" s="195"/>
      <c r="D9" s="420" t="s">
        <v>567</v>
      </c>
      <c r="E9" s="421" t="s">
        <v>7</v>
      </c>
      <c r="F9" s="332">
        <f>K70</f>
        <v>11659.656176504652</v>
      </c>
      <c r="G9" s="433"/>
      <c r="H9" s="415"/>
      <c r="I9" s="418" t="s">
        <v>10</v>
      </c>
      <c r="J9" s="419" t="s">
        <v>7</v>
      </c>
      <c r="K9" s="212">
        <f>IFERROR(IRR!E30,"")</f>
        <v>-3904.5781475715798</v>
      </c>
      <c r="L9" s="195"/>
      <c r="M9" s="195"/>
      <c r="N9" s="195"/>
      <c r="O9" s="195"/>
      <c r="P9" s="195"/>
      <c r="Q9" s="195"/>
      <c r="R9" s="195"/>
      <c r="S9" s="195"/>
      <c r="T9" s="195"/>
      <c r="U9" s="195"/>
      <c r="V9" s="195"/>
      <c r="W9" s="195"/>
      <c r="X9" s="195"/>
      <c r="Y9" s="195"/>
      <c r="Z9" s="195"/>
      <c r="AA9" s="195"/>
      <c r="AB9" s="195"/>
      <c r="AC9" s="195"/>
      <c r="AD9" s="195"/>
      <c r="AE9" s="195"/>
      <c r="AF9" s="195"/>
      <c r="AG9" s="195"/>
      <c r="AH9" s="195"/>
      <c r="AI9" s="195"/>
      <c r="AJ9" s="195"/>
      <c r="AK9" s="195"/>
      <c r="AL9" s="195"/>
      <c r="AM9" s="195"/>
      <c r="AN9" s="195"/>
      <c r="AO9" s="195"/>
      <c r="AP9" s="195"/>
      <c r="AQ9" s="195"/>
      <c r="AR9" s="195"/>
      <c r="AS9" s="195"/>
      <c r="AT9" s="195"/>
      <c r="AU9" s="195"/>
      <c r="AV9" s="195"/>
      <c r="AW9" s="195"/>
      <c r="AX9" s="195"/>
      <c r="AY9" s="195"/>
      <c r="AZ9" s="195"/>
      <c r="BA9" s="195"/>
      <c r="BB9" s="195"/>
    </row>
    <row r="10" spans="1:64" ht="18" x14ac:dyDescent="0.35">
      <c r="A10" s="195"/>
      <c r="B10" s="195"/>
      <c r="C10" s="195"/>
      <c r="D10" s="423" t="s">
        <v>568</v>
      </c>
      <c r="E10" s="424" t="s">
        <v>7</v>
      </c>
      <c r="F10" s="334">
        <f>IF($E$24="Y",IF(F8-F9&lt;=0,0,F8-F9),"NA")</f>
        <v>3904.578147571583</v>
      </c>
      <c r="G10" s="434"/>
      <c r="H10" s="435"/>
      <c r="I10" s="436"/>
      <c r="J10" s="437"/>
      <c r="K10" s="438"/>
      <c r="L10" s="195"/>
      <c r="M10" s="195"/>
      <c r="N10" s="195"/>
      <c r="O10" s="195"/>
      <c r="P10" s="195"/>
      <c r="Q10" s="195"/>
      <c r="R10" s="195"/>
      <c r="S10" s="195"/>
      <c r="T10" s="195"/>
      <c r="U10" s="195"/>
      <c r="V10" s="195"/>
      <c r="W10" s="195"/>
      <c r="X10" s="195"/>
      <c r="Y10" s="195"/>
      <c r="Z10" s="195"/>
      <c r="AA10" s="195"/>
      <c r="AB10" s="195"/>
      <c r="AC10" s="195"/>
      <c r="AD10" s="195"/>
      <c r="AE10" s="195"/>
      <c r="AF10" s="195"/>
      <c r="AG10" s="195"/>
      <c r="AH10" s="195"/>
      <c r="AI10" s="195"/>
      <c r="AJ10" s="195"/>
      <c r="AK10" s="195"/>
      <c r="AL10" s="195"/>
      <c r="AM10" s="195"/>
      <c r="AN10" s="195"/>
      <c r="AO10" s="195"/>
      <c r="AP10" s="195"/>
      <c r="AQ10" s="195"/>
      <c r="AR10" s="195"/>
      <c r="AS10" s="195"/>
      <c r="AT10" s="195"/>
      <c r="AU10" s="195"/>
      <c r="AV10" s="195"/>
      <c r="AW10" s="195"/>
      <c r="AX10" s="195"/>
      <c r="AY10" s="195"/>
      <c r="AZ10" s="195"/>
      <c r="BA10" s="195"/>
      <c r="BB10" s="195"/>
    </row>
    <row r="11" spans="1:64" x14ac:dyDescent="0.3">
      <c r="A11" s="439"/>
      <c r="B11" s="439"/>
      <c r="C11" s="440"/>
      <c r="G11" s="439"/>
      <c r="H11" s="439"/>
      <c r="I11" s="441"/>
      <c r="J11" s="439"/>
      <c r="K11" s="442"/>
      <c r="L11" s="439"/>
      <c r="M11" s="439"/>
      <c r="N11" s="439"/>
      <c r="O11" s="439"/>
      <c r="P11" s="439"/>
      <c r="Q11" s="439"/>
      <c r="R11" s="439"/>
      <c r="S11" s="439"/>
      <c r="T11" s="439"/>
      <c r="U11" s="439"/>
      <c r="V11" s="439"/>
      <c r="W11" s="439"/>
      <c r="X11" s="439"/>
      <c r="Y11" s="439"/>
      <c r="Z11" s="439"/>
      <c r="AA11" s="439"/>
      <c r="AB11" s="439"/>
      <c r="AC11" s="439"/>
      <c r="AD11" s="439"/>
      <c r="AE11" s="439"/>
      <c r="AF11" s="439"/>
      <c r="AG11" s="439"/>
      <c r="AH11" s="439"/>
      <c r="AI11" s="439"/>
      <c r="AJ11" s="439"/>
      <c r="AK11" s="439"/>
      <c r="AL11" s="439"/>
      <c r="AM11" s="439"/>
      <c r="AN11" s="439"/>
      <c r="AO11" s="439"/>
      <c r="AP11" s="439"/>
      <c r="AQ11" s="439"/>
      <c r="AR11" s="439"/>
      <c r="AS11" s="439"/>
      <c r="AT11" s="439"/>
      <c r="AU11" s="439"/>
      <c r="AV11" s="439"/>
      <c r="AW11" s="439"/>
      <c r="AX11" s="439"/>
      <c r="AY11" s="439"/>
      <c r="AZ11" s="439"/>
      <c r="BA11" s="439"/>
      <c r="BB11" s="439"/>
    </row>
    <row r="12" spans="1:64" x14ac:dyDescent="0.3">
      <c r="A12" s="443"/>
      <c r="B12" s="444"/>
      <c r="C12" s="444"/>
      <c r="D12" s="444"/>
      <c r="E12" s="445"/>
      <c r="F12" s="446"/>
      <c r="G12" s="447"/>
      <c r="H12" s="448"/>
      <c r="I12" s="448"/>
      <c r="J12" s="448"/>
      <c r="K12" s="448"/>
      <c r="L12" s="448"/>
      <c r="M12" s="448"/>
      <c r="N12" s="448"/>
      <c r="O12" s="448"/>
      <c r="P12" s="448"/>
      <c r="Q12" s="448"/>
      <c r="R12" s="448"/>
      <c r="S12" s="448"/>
      <c r="T12" s="448"/>
      <c r="U12" s="448"/>
      <c r="V12" s="448"/>
      <c r="W12" s="448"/>
      <c r="X12" s="448"/>
      <c r="Y12" s="448"/>
      <c r="Z12" s="448"/>
      <c r="AA12" s="448"/>
      <c r="AB12" s="448"/>
      <c r="AC12" s="448"/>
      <c r="AD12" s="448"/>
      <c r="AE12" s="448"/>
      <c r="AF12" s="448"/>
      <c r="AG12" s="448"/>
      <c r="AH12" s="448"/>
      <c r="AI12" s="448"/>
      <c r="AJ12" s="448"/>
      <c r="AK12" s="448"/>
      <c r="AL12" s="448"/>
      <c r="AM12" s="448"/>
      <c r="AN12" s="448"/>
      <c r="AO12" s="448"/>
      <c r="AP12" s="448"/>
      <c r="AQ12" s="448"/>
      <c r="AR12" s="448"/>
      <c r="AS12" s="448"/>
      <c r="AT12" s="448"/>
      <c r="AU12" s="448"/>
      <c r="AV12" s="448"/>
      <c r="AW12" s="448"/>
      <c r="AX12" s="448"/>
      <c r="AY12" s="448"/>
      <c r="AZ12" s="448"/>
      <c r="BA12" s="448"/>
      <c r="BB12" s="449"/>
    </row>
    <row r="13" spans="1:64" ht="18" x14ac:dyDescent="0.3">
      <c r="A13" s="450"/>
      <c r="B13" s="451"/>
      <c r="C13" s="451"/>
      <c r="D13" s="451"/>
      <c r="E13" s="451"/>
      <c r="F13" s="452"/>
      <c r="G13" s="450"/>
      <c r="H13" s="451"/>
      <c r="I13" s="451"/>
      <c r="J13" s="451"/>
      <c r="K13" s="451"/>
      <c r="L13" s="451"/>
      <c r="M13" s="451"/>
      <c r="N13" s="451"/>
      <c r="O13" s="451"/>
      <c r="P13" s="451"/>
      <c r="Q13" s="451"/>
      <c r="R13" s="451"/>
      <c r="S13" s="451"/>
      <c r="T13" s="451"/>
      <c r="U13" s="451"/>
      <c r="V13" s="451"/>
      <c r="W13" s="451"/>
      <c r="X13" s="451"/>
      <c r="Y13" s="451"/>
      <c r="Z13" s="451"/>
      <c r="AA13" s="451"/>
      <c r="AB13" s="451"/>
      <c r="AC13" s="451"/>
      <c r="AD13" s="451"/>
      <c r="AE13" s="451"/>
      <c r="AF13" s="451"/>
      <c r="AG13" s="451"/>
      <c r="AH13" s="451"/>
      <c r="AI13" s="451"/>
      <c r="AJ13" s="451"/>
      <c r="AK13" s="451"/>
      <c r="AL13" s="451"/>
      <c r="AM13" s="451"/>
      <c r="AN13" s="451"/>
      <c r="AO13" s="451"/>
      <c r="AP13" s="451"/>
      <c r="AQ13" s="451"/>
      <c r="AR13" s="451"/>
      <c r="AS13" s="451"/>
      <c r="AT13" s="451"/>
      <c r="AU13" s="451"/>
      <c r="AV13" s="451"/>
      <c r="AW13" s="451"/>
      <c r="AX13" s="451"/>
      <c r="AY13" s="451"/>
      <c r="AZ13" s="451"/>
      <c r="BB13" s="163"/>
    </row>
    <row r="14" spans="1:64" x14ac:dyDescent="0.3">
      <c r="A14" s="450"/>
      <c r="F14" s="163"/>
      <c r="G14" s="450"/>
      <c r="V14" s="318"/>
      <c r="BB14" s="163"/>
    </row>
    <row r="15" spans="1:64" ht="18" x14ac:dyDescent="0.3">
      <c r="A15" s="450"/>
      <c r="C15" s="453" t="s">
        <v>11</v>
      </c>
      <c r="D15" s="454" t="s">
        <v>12</v>
      </c>
      <c r="E15" s="453"/>
      <c r="F15" s="163"/>
      <c r="G15" s="450"/>
      <c r="H15" s="451"/>
      <c r="I15" s="451"/>
      <c r="J15" s="451"/>
      <c r="K15" s="451"/>
      <c r="L15" s="451"/>
      <c r="M15" s="451"/>
      <c r="N15" s="451"/>
      <c r="O15" s="451"/>
      <c r="P15" s="451"/>
      <c r="Q15" s="451"/>
      <c r="R15" s="451"/>
      <c r="S15" s="451"/>
      <c r="T15" s="451"/>
      <c r="U15" s="451"/>
      <c r="V15" s="451"/>
      <c r="W15" s="451"/>
      <c r="X15" s="451"/>
      <c r="Y15" s="451"/>
      <c r="Z15" s="451"/>
      <c r="AA15" s="451"/>
      <c r="AB15" s="451"/>
      <c r="AC15" s="451"/>
      <c r="AD15" s="451"/>
      <c r="AE15" s="451"/>
      <c r="AF15" s="451"/>
      <c r="AG15" s="451"/>
      <c r="AH15" s="451"/>
      <c r="AI15" s="451"/>
      <c r="AJ15" s="451"/>
      <c r="AK15" s="451"/>
      <c r="AL15" s="451"/>
      <c r="AM15" s="451"/>
      <c r="AN15" s="451"/>
      <c r="AO15" s="451"/>
      <c r="AP15" s="451"/>
      <c r="AQ15" s="451"/>
      <c r="AR15" s="451"/>
      <c r="AS15" s="451"/>
      <c r="AT15" s="451"/>
      <c r="AU15" s="451"/>
      <c r="AV15" s="451"/>
      <c r="AW15" s="451"/>
      <c r="AX15" s="451"/>
      <c r="AY15" s="451"/>
      <c r="AZ15" s="451"/>
      <c r="BB15" s="163"/>
    </row>
    <row r="16" spans="1:64" ht="21.45" customHeight="1" x14ac:dyDescent="0.3">
      <c r="A16" s="450"/>
      <c r="C16" s="455" t="s">
        <v>13</v>
      </c>
      <c r="D16" s="456"/>
      <c r="E16" s="329">
        <v>1</v>
      </c>
      <c r="F16" s="163"/>
      <c r="G16" s="450"/>
      <c r="BB16" s="163"/>
      <c r="BL16" s="195">
        <v>2</v>
      </c>
    </row>
    <row r="17" spans="1:72" x14ac:dyDescent="0.3">
      <c r="A17" s="450"/>
      <c r="C17" s="977" t="s">
        <v>534</v>
      </c>
      <c r="D17" s="978" t="str">
        <f>'Fin Inputs'!M39</f>
        <v>OK</v>
      </c>
      <c r="E17" s="979"/>
      <c r="F17" s="163"/>
      <c r="G17" s="450"/>
      <c r="H17" s="2"/>
      <c r="I17" s="2" t="s">
        <v>27</v>
      </c>
      <c r="J17" s="2" t="s">
        <v>28</v>
      </c>
      <c r="K17" s="2" t="s">
        <v>10</v>
      </c>
      <c r="L17" s="36">
        <v>0</v>
      </c>
      <c r="M17" s="36">
        <v>1</v>
      </c>
      <c r="N17" s="36">
        <v>2</v>
      </c>
      <c r="O17" s="36">
        <v>3</v>
      </c>
      <c r="P17" s="36">
        <v>4</v>
      </c>
      <c r="Q17" s="36">
        <v>5</v>
      </c>
      <c r="R17" s="36">
        <v>6</v>
      </c>
      <c r="S17" s="36">
        <v>7</v>
      </c>
      <c r="T17" s="36">
        <v>8</v>
      </c>
      <c r="U17" s="36">
        <v>9</v>
      </c>
      <c r="V17" s="36">
        <v>10</v>
      </c>
      <c r="W17" s="36">
        <v>11</v>
      </c>
      <c r="X17" s="36">
        <v>12</v>
      </c>
      <c r="Y17" s="36">
        <v>13</v>
      </c>
      <c r="Z17" s="36">
        <v>14</v>
      </c>
      <c r="AA17" s="36">
        <v>15</v>
      </c>
      <c r="AB17" s="36">
        <v>16</v>
      </c>
      <c r="AC17" s="36">
        <v>17</v>
      </c>
      <c r="AD17" s="36">
        <v>18</v>
      </c>
      <c r="AE17" s="36">
        <v>19</v>
      </c>
      <c r="AF17" s="36">
        <v>20</v>
      </c>
      <c r="AG17" s="36">
        <v>21</v>
      </c>
      <c r="AH17" s="36">
        <v>22</v>
      </c>
      <c r="AI17" s="36">
        <v>23</v>
      </c>
      <c r="AJ17" s="36">
        <v>24</v>
      </c>
      <c r="AK17" s="36">
        <v>25</v>
      </c>
      <c r="AL17" s="36">
        <v>26</v>
      </c>
      <c r="AM17" s="36">
        <v>27</v>
      </c>
      <c r="AN17" s="36">
        <v>28</v>
      </c>
      <c r="AO17" s="36">
        <v>29</v>
      </c>
      <c r="AP17" s="36">
        <v>30</v>
      </c>
      <c r="AQ17" s="36">
        <v>31</v>
      </c>
      <c r="AR17" s="36">
        <v>32</v>
      </c>
      <c r="AS17" s="36">
        <v>33</v>
      </c>
      <c r="AT17" s="36">
        <v>34</v>
      </c>
      <c r="AU17" s="36">
        <v>35</v>
      </c>
      <c r="AV17" s="36">
        <v>36</v>
      </c>
      <c r="AW17" s="36">
        <v>37</v>
      </c>
      <c r="AX17" s="36">
        <v>38</v>
      </c>
      <c r="AY17" s="36">
        <v>39</v>
      </c>
      <c r="AZ17" s="36">
        <v>40</v>
      </c>
      <c r="BB17" s="163"/>
      <c r="BL17" s="195">
        <v>3</v>
      </c>
    </row>
    <row r="18" spans="1:72" ht="15.6" x14ac:dyDescent="0.3">
      <c r="A18" s="450"/>
      <c r="C18" s="977"/>
      <c r="D18" s="978"/>
      <c r="E18" s="979"/>
      <c r="F18" s="163"/>
      <c r="G18" s="450"/>
      <c r="I18" s="453" t="s">
        <v>33</v>
      </c>
      <c r="J18" s="453"/>
      <c r="K18" s="453"/>
      <c r="L18" s="453">
        <f>E25-1</f>
        <v>2027</v>
      </c>
      <c r="M18" s="453">
        <f>L18+1</f>
        <v>2028</v>
      </c>
      <c r="N18" s="453">
        <f t="shared" ref="N18:AF18" si="0">M18+1</f>
        <v>2029</v>
      </c>
      <c r="O18" s="453">
        <f t="shared" si="0"/>
        <v>2030</v>
      </c>
      <c r="P18" s="453">
        <f t="shared" si="0"/>
        <v>2031</v>
      </c>
      <c r="Q18" s="453">
        <f t="shared" si="0"/>
        <v>2032</v>
      </c>
      <c r="R18" s="453">
        <f t="shared" si="0"/>
        <v>2033</v>
      </c>
      <c r="S18" s="453">
        <f t="shared" si="0"/>
        <v>2034</v>
      </c>
      <c r="T18" s="453">
        <f t="shared" si="0"/>
        <v>2035</v>
      </c>
      <c r="U18" s="453">
        <f t="shared" si="0"/>
        <v>2036</v>
      </c>
      <c r="V18" s="453">
        <f t="shared" si="0"/>
        <v>2037</v>
      </c>
      <c r="W18" s="453">
        <f t="shared" si="0"/>
        <v>2038</v>
      </c>
      <c r="X18" s="453">
        <f t="shared" si="0"/>
        <v>2039</v>
      </c>
      <c r="Y18" s="453">
        <f t="shared" si="0"/>
        <v>2040</v>
      </c>
      <c r="Z18" s="453">
        <f t="shared" si="0"/>
        <v>2041</v>
      </c>
      <c r="AA18" s="453">
        <f t="shared" si="0"/>
        <v>2042</v>
      </c>
      <c r="AB18" s="453">
        <f t="shared" si="0"/>
        <v>2043</v>
      </c>
      <c r="AC18" s="453">
        <f t="shared" si="0"/>
        <v>2044</v>
      </c>
      <c r="AD18" s="453">
        <f t="shared" si="0"/>
        <v>2045</v>
      </c>
      <c r="AE18" s="453">
        <f t="shared" si="0"/>
        <v>2046</v>
      </c>
      <c r="AF18" s="453">
        <f t="shared" si="0"/>
        <v>2047</v>
      </c>
      <c r="AG18" s="453">
        <f t="shared" ref="AG18:AZ18" si="1">AF18+1</f>
        <v>2048</v>
      </c>
      <c r="AH18" s="453">
        <f t="shared" si="1"/>
        <v>2049</v>
      </c>
      <c r="AI18" s="453">
        <f t="shared" si="1"/>
        <v>2050</v>
      </c>
      <c r="AJ18" s="453">
        <f t="shared" si="1"/>
        <v>2051</v>
      </c>
      <c r="AK18" s="453">
        <f t="shared" si="1"/>
        <v>2052</v>
      </c>
      <c r="AL18" s="453">
        <f t="shared" si="1"/>
        <v>2053</v>
      </c>
      <c r="AM18" s="453">
        <f t="shared" si="1"/>
        <v>2054</v>
      </c>
      <c r="AN18" s="453">
        <f t="shared" si="1"/>
        <v>2055</v>
      </c>
      <c r="AO18" s="453">
        <f t="shared" si="1"/>
        <v>2056</v>
      </c>
      <c r="AP18" s="453">
        <f t="shared" si="1"/>
        <v>2057</v>
      </c>
      <c r="AQ18" s="453">
        <f t="shared" si="1"/>
        <v>2058</v>
      </c>
      <c r="AR18" s="453">
        <f t="shared" si="1"/>
        <v>2059</v>
      </c>
      <c r="AS18" s="453">
        <f t="shared" si="1"/>
        <v>2060</v>
      </c>
      <c r="AT18" s="453">
        <f t="shared" si="1"/>
        <v>2061</v>
      </c>
      <c r="AU18" s="453">
        <f t="shared" si="1"/>
        <v>2062</v>
      </c>
      <c r="AV18" s="453">
        <f t="shared" si="1"/>
        <v>2063</v>
      </c>
      <c r="AW18" s="453">
        <f t="shared" si="1"/>
        <v>2064</v>
      </c>
      <c r="AX18" s="453">
        <f t="shared" si="1"/>
        <v>2065</v>
      </c>
      <c r="AY18" s="453">
        <f t="shared" si="1"/>
        <v>2066</v>
      </c>
      <c r="AZ18" s="453">
        <f t="shared" si="1"/>
        <v>2067</v>
      </c>
      <c r="BB18" s="163"/>
      <c r="BE18" s="968"/>
      <c r="BF18" s="968"/>
      <c r="BG18" s="968"/>
      <c r="BH18" s="968"/>
      <c r="BI18" s="968"/>
      <c r="BJ18" s="968"/>
      <c r="BK18" s="968"/>
      <c r="BL18" s="968"/>
      <c r="BM18" s="968"/>
    </row>
    <row r="19" spans="1:72" x14ac:dyDescent="0.3">
      <c r="A19" s="450"/>
      <c r="C19" s="450" t="s">
        <v>15</v>
      </c>
      <c r="E19" s="458" t="str">
        <f>VLOOKUP($E$16,Inputs!$B$10:$M$39,11,FALSE)</f>
        <v>MD / BGE</v>
      </c>
      <c r="F19" s="163"/>
      <c r="G19" s="450"/>
      <c r="J19" s="318"/>
      <c r="L19" s="459"/>
      <c r="M19" s="460"/>
      <c r="N19" s="460"/>
      <c r="O19" s="460"/>
      <c r="P19" s="460"/>
      <c r="Q19" s="460"/>
      <c r="R19" s="460"/>
      <c r="S19" s="460"/>
      <c r="T19" s="460"/>
      <c r="U19" s="460"/>
      <c r="V19" s="460"/>
      <c r="W19" s="460"/>
      <c r="X19" s="460"/>
      <c r="Y19" s="460"/>
      <c r="Z19" s="460"/>
      <c r="AA19" s="460"/>
      <c r="AB19" s="460"/>
      <c r="AC19" s="460"/>
      <c r="AD19" s="460"/>
      <c r="AE19" s="460"/>
      <c r="AF19" s="460"/>
      <c r="AG19" s="460"/>
      <c r="AH19" s="460"/>
      <c r="AI19" s="460"/>
      <c r="AJ19" s="460"/>
      <c r="AK19" s="460"/>
      <c r="AL19" s="460"/>
      <c r="AM19" s="460"/>
      <c r="AN19" s="460"/>
      <c r="AO19" s="460"/>
      <c r="AP19" s="460"/>
      <c r="AQ19" s="460"/>
      <c r="AR19" s="460"/>
      <c r="AS19" s="460"/>
      <c r="AT19" s="460"/>
      <c r="AU19" s="460"/>
      <c r="AV19" s="460"/>
      <c r="AW19" s="460"/>
      <c r="AX19" s="460"/>
      <c r="AY19" s="460"/>
      <c r="AZ19" s="460"/>
      <c r="BB19" s="163"/>
      <c r="BF19" s="461"/>
    </row>
    <row r="20" spans="1:72" ht="18" x14ac:dyDescent="0.35">
      <c r="A20" s="450"/>
      <c r="B20" s="462"/>
      <c r="C20" s="450" t="s">
        <v>16</v>
      </c>
      <c r="E20" s="458" t="str">
        <f>VLOOKUP($E$16,Inputs!$B$10:$M$39,7,FALSE)</f>
        <v>Solar PV + BESS</v>
      </c>
      <c r="F20" s="163"/>
      <c r="G20" s="450"/>
      <c r="M20" s="463"/>
      <c r="N20" s="460"/>
      <c r="O20" s="460"/>
      <c r="P20" s="460"/>
      <c r="Q20" s="460"/>
      <c r="R20" s="460"/>
      <c r="S20" s="460"/>
      <c r="T20" s="460"/>
      <c r="U20" s="460"/>
      <c r="V20" s="460"/>
      <c r="W20" s="460"/>
      <c r="X20" s="460"/>
      <c r="Y20" s="460"/>
      <c r="Z20" s="460"/>
      <c r="AA20" s="460"/>
      <c r="AB20" s="460"/>
      <c r="AC20" s="460"/>
      <c r="AD20" s="460"/>
      <c r="AE20" s="460"/>
      <c r="AF20" s="460"/>
      <c r="AG20" s="460"/>
      <c r="AH20" s="460"/>
      <c r="AI20" s="460"/>
      <c r="AJ20" s="460"/>
      <c r="AK20" s="460"/>
      <c r="AL20" s="460"/>
      <c r="AM20" s="460"/>
      <c r="AN20" s="460"/>
      <c r="AO20" s="460"/>
      <c r="AP20" s="460"/>
      <c r="AQ20" s="460"/>
      <c r="AR20" s="460"/>
      <c r="AS20" s="460"/>
      <c r="AT20" s="460"/>
      <c r="AU20" s="460"/>
      <c r="AV20" s="460"/>
      <c r="AW20" s="460"/>
      <c r="AX20" s="460"/>
      <c r="AY20" s="460"/>
      <c r="AZ20" s="460"/>
      <c r="BA20" s="460"/>
      <c r="BB20" s="163"/>
      <c r="BD20" s="464"/>
      <c r="BE20" s="465"/>
      <c r="BF20" s="465"/>
      <c r="BG20" s="466"/>
      <c r="BH20" s="467"/>
      <c r="BI20" s="468"/>
      <c r="BJ20" s="468"/>
      <c r="BK20" s="468"/>
      <c r="BL20" s="468"/>
      <c r="BM20" s="468"/>
      <c r="BN20" s="469"/>
      <c r="BO20" s="469"/>
      <c r="BP20" s="469"/>
      <c r="BQ20" s="469"/>
      <c r="BR20" s="469"/>
      <c r="BS20" s="461"/>
      <c r="BT20" s="461"/>
    </row>
    <row r="21" spans="1:72" x14ac:dyDescent="0.3">
      <c r="A21" s="450"/>
      <c r="B21" s="2"/>
      <c r="C21" s="450" t="s">
        <v>0</v>
      </c>
      <c r="E21" s="458" t="str">
        <f>VLOOKUP($E$16,Inputs!$B$10:$M$39,3,FALSE)</f>
        <v>Residential - Small (5 kW/10 kWh)</v>
      </c>
      <c r="F21" s="163"/>
      <c r="G21" s="450"/>
      <c r="H21" s="2"/>
      <c r="M21" s="470"/>
      <c r="BB21" s="163"/>
      <c r="BD21" s="471"/>
      <c r="BE21" s="472"/>
      <c r="BF21" s="472"/>
      <c r="BG21" s="472"/>
      <c r="BH21" s="472"/>
      <c r="BI21" s="472"/>
      <c r="BJ21" s="472"/>
      <c r="BK21" s="472"/>
      <c r="BL21" s="472"/>
      <c r="BM21" s="472"/>
      <c r="BN21" s="472"/>
      <c r="BO21" s="472"/>
      <c r="BP21" s="472"/>
      <c r="BQ21" s="472"/>
      <c r="BR21" s="472"/>
    </row>
    <row r="22" spans="1:72" x14ac:dyDescent="0.3">
      <c r="A22" s="450"/>
      <c r="C22" s="450" t="s">
        <v>1</v>
      </c>
      <c r="E22" s="458" t="str">
        <f>VLOOKUP($E$16,Inputs!$B$10:$M$39,9,FALSE)</f>
        <v>BTM</v>
      </c>
      <c r="F22" s="163"/>
      <c r="G22" s="473"/>
      <c r="J22" s="474"/>
      <c r="K22" s="474"/>
      <c r="L22" s="301"/>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B22" s="163"/>
      <c r="BD22" s="472"/>
      <c r="BE22" s="469"/>
      <c r="BF22" s="469"/>
      <c r="BG22" s="469"/>
      <c r="BH22" s="469"/>
      <c r="BI22" s="469"/>
      <c r="BJ22" s="469"/>
      <c r="BK22" s="469"/>
      <c r="BL22" s="476"/>
      <c r="BM22" s="469"/>
      <c r="BN22" s="469"/>
      <c r="BO22" s="469"/>
      <c r="BP22" s="469"/>
      <c r="BQ22" s="469"/>
      <c r="BR22" s="469"/>
    </row>
    <row r="23" spans="1:72" x14ac:dyDescent="0.3">
      <c r="A23" s="450"/>
      <c r="C23" s="450" t="s">
        <v>2</v>
      </c>
      <c r="E23" s="477" t="str">
        <f>VLOOKUP($E$16,Inputs!$B$10:$M$39,10,FALSE)</f>
        <v>Distribution</v>
      </c>
      <c r="F23" s="163"/>
      <c r="G23" s="450"/>
      <c r="K23" s="474"/>
      <c r="L23" s="319"/>
      <c r="M23" s="319"/>
      <c r="N23" s="319"/>
      <c r="O23" s="319"/>
      <c r="P23" s="319"/>
      <c r="Q23" s="319"/>
      <c r="R23" s="319"/>
      <c r="S23" s="319"/>
      <c r="T23" s="319"/>
      <c r="U23" s="319"/>
      <c r="V23" s="319"/>
      <c r="W23" s="319"/>
      <c r="X23" s="319"/>
      <c r="Y23" s="319"/>
      <c r="Z23" s="319"/>
      <c r="AA23" s="319"/>
      <c r="AB23" s="319"/>
      <c r="AC23" s="319"/>
      <c r="AD23" s="319"/>
      <c r="AE23" s="319"/>
      <c r="AF23" s="319"/>
      <c r="AG23" s="319"/>
      <c r="AH23" s="319"/>
      <c r="AI23" s="319"/>
      <c r="AJ23" s="319"/>
      <c r="AK23" s="319"/>
      <c r="AL23" s="319"/>
      <c r="AM23" s="319"/>
      <c r="AN23" s="319"/>
      <c r="AO23" s="319"/>
      <c r="AP23" s="319"/>
      <c r="AQ23" s="319"/>
      <c r="AR23" s="319"/>
      <c r="AS23" s="319"/>
      <c r="AT23" s="319"/>
      <c r="AU23" s="319"/>
      <c r="AV23" s="319"/>
      <c r="AW23" s="319"/>
      <c r="AX23" s="319"/>
      <c r="AY23" s="319"/>
      <c r="AZ23" s="319"/>
      <c r="BA23" s="320"/>
      <c r="BB23" s="163"/>
      <c r="BD23" s="472"/>
      <c r="BE23" s="469"/>
      <c r="BF23" s="469"/>
      <c r="BG23" s="469"/>
      <c r="BH23" s="469"/>
      <c r="BI23" s="469"/>
      <c r="BJ23" s="469"/>
      <c r="BK23" s="469"/>
      <c r="BL23" s="476"/>
      <c r="BM23" s="469"/>
      <c r="BN23" s="469"/>
      <c r="BO23" s="469"/>
      <c r="BP23" s="469"/>
      <c r="BQ23" s="469"/>
      <c r="BR23" s="469"/>
    </row>
    <row r="24" spans="1:72" x14ac:dyDescent="0.3">
      <c r="A24" s="450"/>
      <c r="C24" s="450" t="s">
        <v>18</v>
      </c>
      <c r="E24" s="458" t="str">
        <f>VLOOKUP($E$16,Inputs!$B$10:$M$39,12,FALSE)</f>
        <v>Y</v>
      </c>
      <c r="F24" s="163"/>
      <c r="G24" s="450"/>
      <c r="J24" s="474"/>
      <c r="K24" s="5"/>
      <c r="M24" s="41"/>
      <c r="BB24" s="163"/>
      <c r="BD24" s="472"/>
      <c r="BE24" s="469"/>
      <c r="BF24" s="469"/>
      <c r="BG24" s="469"/>
      <c r="BH24" s="469"/>
      <c r="BI24" s="469"/>
      <c r="BJ24" s="469"/>
      <c r="BK24" s="469"/>
      <c r="BL24" s="476"/>
      <c r="BM24" s="469"/>
      <c r="BN24" s="469"/>
      <c r="BO24" s="469"/>
      <c r="BP24" s="469"/>
      <c r="BQ24" s="469"/>
      <c r="BR24" s="469"/>
    </row>
    <row r="25" spans="1:72" x14ac:dyDescent="0.3">
      <c r="A25" s="450"/>
      <c r="C25" s="478" t="s">
        <v>19</v>
      </c>
      <c r="D25" s="479" t="s">
        <v>20</v>
      </c>
      <c r="E25" s="480">
        <v>2028</v>
      </c>
      <c r="F25" s="163"/>
      <c r="G25" s="450"/>
      <c r="I25" s="2" t="s">
        <v>492</v>
      </c>
      <c r="K25" s="5"/>
      <c r="L25" s="321"/>
      <c r="BB25" s="163"/>
      <c r="BD25" s="472"/>
      <c r="BE25" s="469"/>
      <c r="BF25" s="469"/>
      <c r="BG25" s="469"/>
      <c r="BH25" s="469"/>
      <c r="BI25" s="469"/>
      <c r="BJ25" s="469"/>
      <c r="BK25" s="469"/>
      <c r="BL25" s="476"/>
      <c r="BM25" s="469"/>
      <c r="BN25" s="469"/>
      <c r="BO25" s="469"/>
      <c r="BP25" s="469"/>
      <c r="BQ25" s="469"/>
      <c r="BR25" s="469"/>
    </row>
    <row r="26" spans="1:72" x14ac:dyDescent="0.3">
      <c r="A26" s="450"/>
      <c r="C26" s="481" t="s">
        <v>490</v>
      </c>
      <c r="D26" s="482"/>
      <c r="E26" s="336" t="s">
        <v>121</v>
      </c>
      <c r="F26" s="163"/>
      <c r="G26" s="450"/>
      <c r="I26" s="10" t="s">
        <v>157</v>
      </c>
      <c r="J26" s="474" t="s">
        <v>7</v>
      </c>
      <c r="K26" s="483">
        <f>NPV($E$62,L26:AZ26)</f>
        <v>12480.888888888891</v>
      </c>
      <c r="L26" s="3">
        <f>-IRR!G21</f>
        <v>14041.000000000002</v>
      </c>
      <c r="M26" s="3">
        <f>-IRR!H21</f>
        <v>0</v>
      </c>
      <c r="N26" s="3">
        <f>-IRR!I21</f>
        <v>0</v>
      </c>
      <c r="O26" s="3">
        <f>-IRR!J21</f>
        <v>0</v>
      </c>
      <c r="P26" s="3">
        <f>-IRR!K21</f>
        <v>0</v>
      </c>
      <c r="Q26" s="3">
        <f>-IRR!L21</f>
        <v>0</v>
      </c>
      <c r="R26" s="3">
        <f>-IRR!M21</f>
        <v>0</v>
      </c>
      <c r="S26" s="3">
        <f>-IRR!N21</f>
        <v>0</v>
      </c>
      <c r="T26" s="3">
        <f>-IRR!O21</f>
        <v>0</v>
      </c>
      <c r="U26" s="3">
        <f>-IRR!P21</f>
        <v>0</v>
      </c>
      <c r="V26" s="3">
        <f>-IRR!Q21</f>
        <v>0</v>
      </c>
      <c r="W26" s="3">
        <f>-IRR!R21</f>
        <v>0</v>
      </c>
      <c r="X26" s="3">
        <f>-IRR!S21</f>
        <v>0</v>
      </c>
      <c r="Y26" s="3">
        <f>-IRR!T21</f>
        <v>0</v>
      </c>
      <c r="Z26" s="3">
        <f>-IRR!U21</f>
        <v>0</v>
      </c>
      <c r="AA26" s="3">
        <f>-IRR!V21</f>
        <v>0</v>
      </c>
      <c r="AB26" s="3">
        <f>-IRR!W21</f>
        <v>0</v>
      </c>
      <c r="AC26" s="3">
        <f>-IRR!X21</f>
        <v>0</v>
      </c>
      <c r="AD26" s="3">
        <f>-IRR!Y21</f>
        <v>0</v>
      </c>
      <c r="AE26" s="3">
        <f>-IRR!Z21</f>
        <v>0</v>
      </c>
      <c r="AF26" s="3">
        <f>-IRR!AA21</f>
        <v>0</v>
      </c>
      <c r="AG26" s="3">
        <f>-IRR!AB21</f>
        <v>0</v>
      </c>
      <c r="AH26" s="3">
        <f>-IRR!AC21</f>
        <v>0</v>
      </c>
      <c r="AI26" s="3">
        <f>-IRR!AD21</f>
        <v>0</v>
      </c>
      <c r="AJ26" s="3">
        <f>-IRR!AE21</f>
        <v>0</v>
      </c>
      <c r="AK26" s="3">
        <f>-IRR!AF21</f>
        <v>0</v>
      </c>
      <c r="AL26" s="3">
        <f>-IRR!AG21</f>
        <v>0</v>
      </c>
      <c r="AM26" s="3">
        <f>-IRR!AH21</f>
        <v>0</v>
      </c>
      <c r="AN26" s="3">
        <f>-IRR!AI21</f>
        <v>0</v>
      </c>
      <c r="AO26" s="3">
        <f>-IRR!AJ21</f>
        <v>0</v>
      </c>
      <c r="AP26" s="3">
        <f>-IRR!AK21</f>
        <v>0</v>
      </c>
      <c r="AQ26" s="3">
        <f>-IRR!AL21</f>
        <v>0</v>
      </c>
      <c r="AR26" s="3">
        <f>-IRR!AM21</f>
        <v>0</v>
      </c>
      <c r="AS26" s="3">
        <f>-IRR!AN21</f>
        <v>0</v>
      </c>
      <c r="AT26" s="3">
        <f>-IRR!AO21</f>
        <v>0</v>
      </c>
      <c r="AU26" s="3">
        <f>-IRR!AP21</f>
        <v>0</v>
      </c>
      <c r="AV26" s="3">
        <f>-IRR!AQ21</f>
        <v>0</v>
      </c>
      <c r="AW26" s="3">
        <f>-IRR!AR21</f>
        <v>0</v>
      </c>
      <c r="AX26" s="3">
        <f>-IRR!AS21</f>
        <v>0</v>
      </c>
      <c r="AY26" s="3">
        <f>-IRR!AT21</f>
        <v>0</v>
      </c>
      <c r="AZ26" s="3">
        <f>-IRR!AU21</f>
        <v>0</v>
      </c>
      <c r="BA26" s="3"/>
      <c r="BB26" s="163"/>
      <c r="BD26" s="472"/>
      <c r="BE26" s="469"/>
      <c r="BF26" s="469"/>
      <c r="BG26" s="469"/>
      <c r="BH26" s="469"/>
      <c r="BI26" s="469"/>
      <c r="BJ26" s="469"/>
      <c r="BK26" s="469"/>
      <c r="BL26" s="476"/>
      <c r="BM26" s="469"/>
      <c r="BN26" s="469"/>
      <c r="BO26" s="469"/>
      <c r="BP26" s="469"/>
      <c r="BQ26" s="469"/>
      <c r="BR26" s="469"/>
    </row>
    <row r="27" spans="1:72" x14ac:dyDescent="0.3">
      <c r="A27" s="450"/>
      <c r="F27" s="163"/>
      <c r="G27" s="450"/>
      <c r="I27" s="10" t="s">
        <v>461</v>
      </c>
      <c r="J27" s="474" t="s">
        <v>7</v>
      </c>
      <c r="K27" s="483">
        <f>NPV($E$62,L27:AZ27)</f>
        <v>2708.3726631330001</v>
      </c>
      <c r="L27" s="3">
        <f>-'Fin Statement'!F9</f>
        <v>0</v>
      </c>
      <c r="M27" s="3">
        <f>-'Fin Statement'!G9</f>
        <v>385</v>
      </c>
      <c r="N27" s="3">
        <f>-'Fin Statement'!H9</f>
        <v>385</v>
      </c>
      <c r="O27" s="3">
        <f>-'Fin Statement'!I9</f>
        <v>385</v>
      </c>
      <c r="P27" s="3">
        <f>-'Fin Statement'!J9</f>
        <v>392.7</v>
      </c>
      <c r="Q27" s="3">
        <f>-'Fin Statement'!K9</f>
        <v>400.55399999999997</v>
      </c>
      <c r="R27" s="3">
        <f>-'Fin Statement'!L9</f>
        <v>408.56507999999997</v>
      </c>
      <c r="S27" s="3">
        <f>-'Fin Statement'!M9</f>
        <v>416.73638159999996</v>
      </c>
      <c r="T27" s="3">
        <f>-'Fin Statement'!N9</f>
        <v>425.07110923199997</v>
      </c>
      <c r="U27" s="3">
        <f>-'Fin Statement'!O9</f>
        <v>433.57253141664</v>
      </c>
      <c r="V27" s="3">
        <f>-'Fin Statement'!P9</f>
        <v>442.24398204497282</v>
      </c>
      <c r="W27" s="3">
        <f>-'Fin Statement'!Q9</f>
        <v>451.0888616858723</v>
      </c>
      <c r="X27" s="3">
        <f>-'Fin Statement'!R9</f>
        <v>460.11063891958975</v>
      </c>
      <c r="Y27" s="3">
        <f>-'Fin Statement'!S9</f>
        <v>469.31285169798156</v>
      </c>
      <c r="Z27" s="3">
        <f>-'Fin Statement'!T9</f>
        <v>478.69910873194118</v>
      </c>
      <c r="AA27" s="3">
        <f>-'Fin Statement'!U9</f>
        <v>488.27309090658002</v>
      </c>
      <c r="AB27" s="3">
        <f>-'Fin Statement'!V9</f>
        <v>498.03855272471162</v>
      </c>
      <c r="AC27" s="3">
        <f>-'Fin Statement'!W9</f>
        <v>507.99932377920584</v>
      </c>
      <c r="AD27" s="3">
        <f>-'Fin Statement'!X9</f>
        <v>518.15931025478994</v>
      </c>
      <c r="AE27" s="3">
        <f>-'Fin Statement'!Y9</f>
        <v>528.5224964598857</v>
      </c>
      <c r="AF27" s="3">
        <f>-'Fin Statement'!Z9</f>
        <v>539.09294638908341</v>
      </c>
      <c r="AG27" s="3">
        <f>-'Fin Statement'!AA9</f>
        <v>0</v>
      </c>
      <c r="AH27" s="3">
        <f>-'Fin Statement'!AB9</f>
        <v>0</v>
      </c>
      <c r="AI27" s="3">
        <f>-'Fin Statement'!AC9</f>
        <v>0</v>
      </c>
      <c r="AJ27" s="3">
        <f>-'Fin Statement'!AD9</f>
        <v>0</v>
      </c>
      <c r="AK27" s="3">
        <f>-'Fin Statement'!AE9</f>
        <v>0</v>
      </c>
      <c r="AL27" s="3">
        <f>-'Fin Statement'!AF9</f>
        <v>0</v>
      </c>
      <c r="AM27" s="3">
        <f>-'Fin Statement'!AG9</f>
        <v>0</v>
      </c>
      <c r="AN27" s="3">
        <f>-'Fin Statement'!AH9</f>
        <v>0</v>
      </c>
      <c r="AO27" s="3">
        <f>-'Fin Statement'!AI9</f>
        <v>0</v>
      </c>
      <c r="AP27" s="3">
        <f>-'Fin Statement'!AJ9</f>
        <v>0</v>
      </c>
      <c r="AQ27" s="3">
        <f>-'Fin Statement'!AK9</f>
        <v>0</v>
      </c>
      <c r="AR27" s="3">
        <f>-'Fin Statement'!AL9</f>
        <v>0</v>
      </c>
      <c r="AS27" s="3">
        <f>-'Fin Statement'!AM9</f>
        <v>0</v>
      </c>
      <c r="AT27" s="3">
        <f>-'Fin Statement'!AN9</f>
        <v>0</v>
      </c>
      <c r="AU27" s="3">
        <f>-'Fin Statement'!AO9</f>
        <v>0</v>
      </c>
      <c r="AV27" s="3">
        <f>-'Fin Statement'!AP9</f>
        <v>0</v>
      </c>
      <c r="AW27" s="3">
        <f>-'Fin Statement'!AQ9</f>
        <v>0</v>
      </c>
      <c r="AX27" s="3">
        <f>-'Fin Statement'!AR9</f>
        <v>0</v>
      </c>
      <c r="AY27" s="3">
        <f>-'Fin Statement'!AS9</f>
        <v>0</v>
      </c>
      <c r="AZ27" s="3">
        <f>-'Fin Statement'!AT9</f>
        <v>0</v>
      </c>
      <c r="BA27" s="3"/>
      <c r="BB27" s="163"/>
      <c r="BD27" s="472"/>
      <c r="BE27" s="469"/>
      <c r="BF27" s="469"/>
      <c r="BG27" s="469"/>
      <c r="BH27" s="469"/>
      <c r="BI27" s="469"/>
      <c r="BJ27" s="469"/>
      <c r="BK27" s="469"/>
      <c r="BL27" s="476"/>
      <c r="BM27" s="469"/>
      <c r="BN27" s="469"/>
      <c r="BO27" s="469"/>
      <c r="BP27" s="469"/>
      <c r="BQ27" s="469"/>
      <c r="BR27" s="469"/>
    </row>
    <row r="28" spans="1:72" x14ac:dyDescent="0.3">
      <c r="A28" s="450"/>
      <c r="B28" s="6">
        <v>1</v>
      </c>
      <c r="C28" s="484" t="s">
        <v>21</v>
      </c>
      <c r="D28" s="485" t="s">
        <v>22</v>
      </c>
      <c r="E28" s="486">
        <f>INDEX(InputsMatrix,$E$16,$B28)</f>
        <v>20</v>
      </c>
      <c r="F28" s="163"/>
      <c r="G28" s="450"/>
      <c r="I28" s="10" t="s">
        <v>561</v>
      </c>
      <c r="J28" s="474" t="s">
        <v>7</v>
      </c>
      <c r="K28" s="483">
        <f>NPV($E$62,L28:AZ28)</f>
        <v>0</v>
      </c>
      <c r="L28" s="3">
        <f>Debt!F15</f>
        <v>0</v>
      </c>
      <c r="M28" s="3">
        <f>Debt!G15</f>
        <v>0</v>
      </c>
      <c r="N28" s="3">
        <f>Debt!H15</f>
        <v>0</v>
      </c>
      <c r="O28" s="3">
        <f>Debt!I15</f>
        <v>0</v>
      </c>
      <c r="P28" s="3">
        <f>Debt!J15</f>
        <v>0</v>
      </c>
      <c r="Q28" s="3">
        <f>Debt!K15</f>
        <v>0</v>
      </c>
      <c r="R28" s="3">
        <f>Debt!L15</f>
        <v>0</v>
      </c>
      <c r="S28" s="3">
        <f>Debt!M15</f>
        <v>0</v>
      </c>
      <c r="T28" s="3">
        <f>Debt!N15</f>
        <v>0</v>
      </c>
      <c r="U28" s="3">
        <f>Debt!O15</f>
        <v>0</v>
      </c>
      <c r="V28" s="3">
        <f>Debt!P15</f>
        <v>0</v>
      </c>
      <c r="W28" s="3">
        <f>Debt!Q15</f>
        <v>0</v>
      </c>
      <c r="X28" s="3">
        <f>Debt!R15</f>
        <v>0</v>
      </c>
      <c r="Y28" s="3">
        <f>Debt!S15</f>
        <v>0</v>
      </c>
      <c r="Z28" s="3">
        <f>Debt!T15</f>
        <v>0</v>
      </c>
      <c r="AA28" s="3">
        <f>Debt!U15</f>
        <v>0</v>
      </c>
      <c r="AB28" s="3">
        <f>Debt!V15</f>
        <v>0</v>
      </c>
      <c r="AC28" s="3">
        <f>Debt!W15</f>
        <v>0</v>
      </c>
      <c r="AD28" s="3">
        <f>Debt!X15</f>
        <v>0</v>
      </c>
      <c r="AE28" s="3">
        <f>Debt!Y15</f>
        <v>0</v>
      </c>
      <c r="AF28" s="3">
        <f>Debt!Z15</f>
        <v>0</v>
      </c>
      <c r="AG28" s="3">
        <f>Debt!AA15</f>
        <v>0</v>
      </c>
      <c r="AH28" s="3">
        <f>Debt!AB15</f>
        <v>0</v>
      </c>
      <c r="AI28" s="3">
        <f>Debt!AC15</f>
        <v>0</v>
      </c>
      <c r="AJ28" s="3">
        <f>Debt!AD15</f>
        <v>0</v>
      </c>
      <c r="AK28" s="3">
        <f>Debt!AE15</f>
        <v>0</v>
      </c>
      <c r="AL28" s="3">
        <f>Debt!AF15</f>
        <v>0</v>
      </c>
      <c r="AM28" s="3">
        <f>Debt!AG15</f>
        <v>0</v>
      </c>
      <c r="AN28" s="3">
        <f>Debt!AH15</f>
        <v>0</v>
      </c>
      <c r="AO28" s="3">
        <f>Debt!AI15</f>
        <v>0</v>
      </c>
      <c r="AP28" s="3">
        <f>Debt!AJ15</f>
        <v>0</v>
      </c>
      <c r="AQ28" s="3">
        <f>Debt!AK15</f>
        <v>0</v>
      </c>
      <c r="AR28" s="3">
        <f>Debt!AL15</f>
        <v>0</v>
      </c>
      <c r="AS28" s="3">
        <f>Debt!AM15</f>
        <v>0</v>
      </c>
      <c r="AT28" s="3">
        <f>Debt!AN15</f>
        <v>0</v>
      </c>
      <c r="AU28" s="3">
        <f>Debt!AO15</f>
        <v>0</v>
      </c>
      <c r="AV28" s="3">
        <f>Debt!AP15</f>
        <v>0</v>
      </c>
      <c r="AW28" s="3">
        <f>Debt!AQ15</f>
        <v>0</v>
      </c>
      <c r="AX28" s="3">
        <f>Debt!AR15</f>
        <v>0</v>
      </c>
      <c r="AY28" s="3">
        <f>Debt!AS15</f>
        <v>0</v>
      </c>
      <c r="AZ28" s="3">
        <f>Debt!AT15</f>
        <v>0</v>
      </c>
      <c r="BA28" s="3"/>
      <c r="BB28" s="163"/>
      <c r="BD28" s="472"/>
      <c r="BE28" s="469"/>
      <c r="BF28" s="469"/>
      <c r="BG28" s="469"/>
      <c r="BH28" s="469"/>
      <c r="BI28" s="469"/>
      <c r="BJ28" s="469"/>
      <c r="BK28" s="469"/>
      <c r="BL28" s="476"/>
      <c r="BM28" s="469"/>
      <c r="BN28" s="469"/>
      <c r="BO28" s="469"/>
      <c r="BP28" s="469"/>
      <c r="BQ28" s="469"/>
      <c r="BR28" s="469"/>
      <c r="BS28" s="461"/>
      <c r="BT28" s="461"/>
    </row>
    <row r="29" spans="1:72" ht="28.8" x14ac:dyDescent="0.3">
      <c r="A29" s="450"/>
      <c r="B29" s="6">
        <v>5</v>
      </c>
      <c r="C29" s="487" t="s">
        <v>31</v>
      </c>
      <c r="D29" s="479" t="s">
        <v>32</v>
      </c>
      <c r="E29" s="324">
        <f>INDEX(InputsMatrix,$E$16,$B29)</f>
        <v>1</v>
      </c>
      <c r="F29" s="163"/>
      <c r="G29" s="450"/>
      <c r="I29" s="488" t="s">
        <v>562</v>
      </c>
      <c r="J29" s="489" t="s">
        <v>7</v>
      </c>
      <c r="K29" s="483">
        <f>NPV($E$62,L29:AZ29)</f>
        <v>57.972357835256858</v>
      </c>
      <c r="L29" s="3">
        <f>-SUM('Fin Statement'!F34:F35)</f>
        <v>0</v>
      </c>
      <c r="M29" s="3">
        <f>-SUM('Fin Statement'!G34:G35)</f>
        <v>215.14981471975869</v>
      </c>
      <c r="N29" s="3">
        <f>-SUM('Fin Statement'!H34:H35)</f>
        <v>-167.08025296655848</v>
      </c>
      <c r="O29" s="3">
        <f>-SUM('Fin Statement'!I34:I35)</f>
        <v>-9.9820564471860251</v>
      </c>
      <c r="P29" s="3">
        <f>-SUM('Fin Statement'!J34:J35)</f>
        <v>2.78202362921758</v>
      </c>
      <c r="Q29" s="3">
        <f>-SUM('Fin Statement'!K34:K35)</f>
        <v>3.556075685206558</v>
      </c>
      <c r="R29" s="3">
        <f>-SUM('Fin Statement'!L34:L35)</f>
        <v>1.4644581962232479</v>
      </c>
      <c r="S29" s="3">
        <f>-SUM('Fin Statement'!M34:M35)</f>
        <v>1.4512892975931138</v>
      </c>
      <c r="T29" s="3">
        <f>-SUM('Fin Statement'!N34:N35)</f>
        <v>1.4378570209903714</v>
      </c>
      <c r="U29" s="3">
        <f>-SUM('Fin Statement'!O34:O35)</f>
        <v>1.4241560988555761</v>
      </c>
      <c r="V29" s="3">
        <f>-SUM('Fin Statement'!P34:P35)</f>
        <v>1.4101811582780996</v>
      </c>
      <c r="W29" s="3">
        <f>-SUM('Fin Statement'!Q34:Q35)</f>
        <v>4.0562797521414922</v>
      </c>
      <c r="X29" s="3">
        <f>-SUM('Fin Statement'!R34:R35)</f>
        <v>4.0417402239647018</v>
      </c>
      <c r="Y29" s="3">
        <f>-SUM('Fin Statement'!S34:S35)</f>
        <v>4.0269099052243433</v>
      </c>
      <c r="Z29" s="3">
        <f>-SUM('Fin Statement'!T34:T35)</f>
        <v>4.0117829801091531</v>
      </c>
      <c r="AA29" s="3">
        <f>-SUM('Fin Statement'!U34:U35)</f>
        <v>3.996353516491709</v>
      </c>
      <c r="AB29" s="3">
        <f>-SUM('Fin Statement'!V34:V35)</f>
        <v>3.3546083504324002</v>
      </c>
      <c r="AC29" s="3">
        <f>-SUM('Fin Statement'!W34:W35)</f>
        <v>3.3385555364848187</v>
      </c>
      <c r="AD29" s="3">
        <f>-SUM('Fin Statement'!X34:X35)</f>
        <v>3.32218166625821</v>
      </c>
      <c r="AE29" s="3">
        <f>-SUM('Fin Statement'!Y34:Y35)</f>
        <v>3.3054803186271329</v>
      </c>
      <c r="AF29" s="3">
        <f>-SUM('Fin Statement'!Z34:Z35)</f>
        <v>3.2884449440434338</v>
      </c>
      <c r="AG29" s="3"/>
      <c r="AH29" s="3"/>
      <c r="AI29" s="3"/>
      <c r="AJ29" s="3"/>
      <c r="AK29" s="3"/>
      <c r="AL29" s="3">
        <f>-SUM('Fin Statement'!AF33:AF35)</f>
        <v>0</v>
      </c>
      <c r="AM29" s="3">
        <f>-SUM('Fin Statement'!AG33:AG35)</f>
        <v>0</v>
      </c>
      <c r="AN29" s="3">
        <f>-SUM('Fin Statement'!AH33:AH35)</f>
        <v>0</v>
      </c>
      <c r="AO29" s="3">
        <f>-SUM('Fin Statement'!AI33:AI35)</f>
        <v>0</v>
      </c>
      <c r="AP29" s="3">
        <f>-SUM('Fin Statement'!AJ33:AJ35)</f>
        <v>0</v>
      </c>
      <c r="AQ29" s="3">
        <f>-SUM('Fin Statement'!AK33:AK35)</f>
        <v>0</v>
      </c>
      <c r="AR29" s="3">
        <f>-SUM('Fin Statement'!AL33:AL35)</f>
        <v>0</v>
      </c>
      <c r="AS29" s="3">
        <f>-SUM('Fin Statement'!AM33:AM35)</f>
        <v>0</v>
      </c>
      <c r="AT29" s="3">
        <f>-SUM('Fin Statement'!AN33:AN35)</f>
        <v>0</v>
      </c>
      <c r="AU29" s="3">
        <f>-SUM('Fin Statement'!AO33:AO35)</f>
        <v>0</v>
      </c>
      <c r="AV29" s="3">
        <f>-SUM('Fin Statement'!AP33:AP35)</f>
        <v>0</v>
      </c>
      <c r="AW29" s="3">
        <f>-SUM('Fin Statement'!AQ33:AQ35)</f>
        <v>0</v>
      </c>
      <c r="AX29" s="3">
        <f>-SUM('Fin Statement'!AR33:AR35)</f>
        <v>0</v>
      </c>
      <c r="AY29" s="3">
        <f>-SUM('Fin Statement'!AS33:AS35)</f>
        <v>0</v>
      </c>
      <c r="AZ29" s="3">
        <f>-SUM('Fin Statement'!AT33:AT35)</f>
        <v>0</v>
      </c>
      <c r="BA29" s="3"/>
      <c r="BB29" s="163"/>
      <c r="BD29" s="472"/>
      <c r="BE29" s="469"/>
      <c r="BF29" s="469"/>
      <c r="BG29" s="469"/>
      <c r="BH29" s="469"/>
      <c r="BI29" s="469"/>
      <c r="BJ29" s="469"/>
      <c r="BK29" s="469"/>
      <c r="BL29" s="476"/>
      <c r="BM29" s="469"/>
      <c r="BN29" s="469"/>
      <c r="BO29" s="469"/>
      <c r="BP29" s="469"/>
      <c r="BQ29" s="469"/>
      <c r="BR29" s="469"/>
    </row>
    <row r="30" spans="1:72" x14ac:dyDescent="0.3">
      <c r="A30" s="450"/>
      <c r="C30" s="490" t="s">
        <v>34</v>
      </c>
      <c r="E30" s="491"/>
      <c r="F30" s="163"/>
      <c r="G30" s="492"/>
      <c r="I30" s="10" t="s">
        <v>563</v>
      </c>
      <c r="K30" s="483">
        <f t="shared" ref="K30" si="2">NPV($E$62,L30:AZ30)</f>
        <v>317.00041421908753</v>
      </c>
      <c r="L30" s="3">
        <f>-'Fin Statement'!F33</f>
        <v>0</v>
      </c>
      <c r="M30" s="3">
        <f>-'Fin Statement'!G33</f>
        <v>266.80855912144131</v>
      </c>
      <c r="N30" s="3">
        <f>-'Fin Statement'!H33</f>
        <v>0</v>
      </c>
      <c r="O30" s="3">
        <f>-'Fin Statement'!I33</f>
        <v>0</v>
      </c>
      <c r="P30" s="3">
        <f>-'Fin Statement'!J33</f>
        <v>0</v>
      </c>
      <c r="Q30" s="3">
        <f>-'Fin Statement'!K33</f>
        <v>0</v>
      </c>
      <c r="R30" s="3">
        <f>-'Fin Statement'!L33</f>
        <v>0</v>
      </c>
      <c r="S30" s="3">
        <f>-'Fin Statement'!M33</f>
        <v>0</v>
      </c>
      <c r="T30" s="3">
        <f>-'Fin Statement'!N33</f>
        <v>0</v>
      </c>
      <c r="U30" s="3">
        <f>-'Fin Statement'!O33</f>
        <v>0</v>
      </c>
      <c r="V30" s="3">
        <f>-'Fin Statement'!P33</f>
        <v>0</v>
      </c>
      <c r="W30" s="3">
        <f>-'Fin Statement'!Q33</f>
        <v>0</v>
      </c>
      <c r="X30" s="3">
        <f>-'Fin Statement'!R33</f>
        <v>0</v>
      </c>
      <c r="Y30" s="3">
        <f>-'Fin Statement'!S33</f>
        <v>0</v>
      </c>
      <c r="Z30" s="3">
        <f>-'Fin Statement'!T33</f>
        <v>0</v>
      </c>
      <c r="AA30" s="3">
        <f>-'Fin Statement'!U33</f>
        <v>0</v>
      </c>
      <c r="AB30" s="3">
        <f>-'Fin Statement'!V33</f>
        <v>0</v>
      </c>
      <c r="AC30" s="3">
        <f>-'Fin Statement'!W33</f>
        <v>166.08033279984403</v>
      </c>
      <c r="AD30" s="3">
        <f>-'Fin Statement'!X33</f>
        <v>290.97036918370429</v>
      </c>
      <c r="AE30" s="3">
        <f>-'Fin Statement'!Y33</f>
        <v>302.73374726761858</v>
      </c>
      <c r="AF30" s="3">
        <f>-'Fin Statement'!Z33</f>
        <v>314.43650071223317</v>
      </c>
      <c r="AG30" s="3">
        <f>-'Fin Statement'!AA33</f>
        <v>0</v>
      </c>
      <c r="AH30" s="3">
        <f>-'Fin Statement'!AB33</f>
        <v>0</v>
      </c>
      <c r="AI30" s="3">
        <f>-'Fin Statement'!AC33</f>
        <v>0</v>
      </c>
      <c r="AJ30" s="3">
        <f>-'Fin Statement'!AD33</f>
        <v>0</v>
      </c>
      <c r="AK30" s="3">
        <f>-'Fin Statement'!AE33</f>
        <v>0</v>
      </c>
      <c r="AL30" s="3">
        <f>-'Fin Statement'!AF33</f>
        <v>0</v>
      </c>
      <c r="AM30" s="3">
        <f>-'Fin Statement'!AG33</f>
        <v>0</v>
      </c>
      <c r="AN30" s="3">
        <f>-'Fin Statement'!AH33</f>
        <v>0</v>
      </c>
      <c r="AO30" s="3">
        <f>-'Fin Statement'!AI33</f>
        <v>0</v>
      </c>
      <c r="AP30" s="3">
        <f>-'Fin Statement'!AJ33</f>
        <v>0</v>
      </c>
      <c r="AQ30" s="3">
        <f>-'Fin Statement'!AK33</f>
        <v>0</v>
      </c>
      <c r="AR30" s="3">
        <f>-'Fin Statement'!AL33</f>
        <v>0</v>
      </c>
      <c r="AS30" s="3">
        <f>-'Fin Statement'!AM33</f>
        <v>0</v>
      </c>
      <c r="AT30" s="3">
        <f>-'Fin Statement'!AN33</f>
        <v>0</v>
      </c>
      <c r="AU30" s="3">
        <f>-'Fin Statement'!AO33</f>
        <v>0</v>
      </c>
      <c r="AV30" s="3">
        <f>-'Fin Statement'!AP33</f>
        <v>0</v>
      </c>
      <c r="AW30" s="3">
        <f>-'Fin Statement'!AQ33</f>
        <v>0</v>
      </c>
      <c r="AX30" s="3">
        <f>-'Fin Statement'!AR33</f>
        <v>0</v>
      </c>
      <c r="AY30" s="3">
        <f>-'Fin Statement'!AS33</f>
        <v>0</v>
      </c>
      <c r="AZ30" s="3">
        <f>-'Fin Statement'!AT33</f>
        <v>0</v>
      </c>
      <c r="BA30" s="3"/>
      <c r="BB30" s="163"/>
      <c r="BD30" s="472"/>
      <c r="BE30" s="469"/>
      <c r="BF30" s="469"/>
      <c r="BG30" s="469"/>
      <c r="BH30" s="469"/>
      <c r="BI30" s="469"/>
      <c r="BJ30" s="469"/>
      <c r="BK30" s="469"/>
      <c r="BL30" s="476"/>
      <c r="BM30" s="469"/>
      <c r="BN30" s="469"/>
      <c r="BO30" s="469"/>
      <c r="BP30" s="469"/>
      <c r="BQ30" s="469"/>
      <c r="BR30" s="469"/>
    </row>
    <row r="31" spans="1:72" x14ac:dyDescent="0.3">
      <c r="A31" s="450"/>
      <c r="B31" s="6">
        <v>6</v>
      </c>
      <c r="C31" s="493" t="s">
        <v>35</v>
      </c>
      <c r="D31" s="479" t="s">
        <v>25</v>
      </c>
      <c r="E31" s="201">
        <f t="shared" ref="E31:E40" si="3">INDEX(InputsMatrix,$E$16,$B31)</f>
        <v>5.0000000000000001E-3</v>
      </c>
      <c r="F31" s="494"/>
      <c r="G31" s="450"/>
      <c r="I31" s="10"/>
      <c r="J31" s="10"/>
      <c r="K31" s="10"/>
      <c r="L31" s="10"/>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163"/>
      <c r="BD31" s="472"/>
      <c r="BE31" s="469"/>
      <c r="BF31" s="469"/>
      <c r="BG31" s="469"/>
      <c r="BH31" s="469"/>
      <c r="BI31" s="469"/>
      <c r="BJ31" s="469"/>
      <c r="BK31" s="469"/>
      <c r="BL31" s="476"/>
      <c r="BM31" s="469"/>
      <c r="BN31" s="469"/>
      <c r="BO31" s="469"/>
      <c r="BP31" s="469"/>
      <c r="BQ31" s="469"/>
      <c r="BR31" s="469"/>
    </row>
    <row r="32" spans="1:72" x14ac:dyDescent="0.3">
      <c r="A32" s="495"/>
      <c r="B32" s="6">
        <v>7</v>
      </c>
      <c r="C32" s="487" t="s">
        <v>36</v>
      </c>
      <c r="D32" s="479" t="s">
        <v>37</v>
      </c>
      <c r="E32" s="201">
        <f t="shared" si="3"/>
        <v>2</v>
      </c>
      <c r="F32" s="163"/>
      <c r="G32" s="450"/>
      <c r="I32" s="496"/>
      <c r="L32" s="322"/>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163"/>
      <c r="BD32" s="472"/>
      <c r="BE32" s="469"/>
      <c r="BF32" s="469"/>
      <c r="BG32" s="469"/>
      <c r="BH32" s="469"/>
      <c r="BI32" s="469"/>
      <c r="BJ32" s="469"/>
      <c r="BK32" s="469"/>
      <c r="BL32" s="476"/>
      <c r="BM32" s="469"/>
      <c r="BN32" s="469"/>
      <c r="BO32" s="469"/>
      <c r="BP32" s="469"/>
      <c r="BQ32" s="469"/>
      <c r="BR32" s="469"/>
    </row>
    <row r="33" spans="1:70" x14ac:dyDescent="0.3">
      <c r="A33" s="495"/>
      <c r="B33" s="6">
        <v>8</v>
      </c>
      <c r="C33" s="487" t="s">
        <v>38</v>
      </c>
      <c r="D33" s="479" t="s">
        <v>39</v>
      </c>
      <c r="E33" s="201">
        <f t="shared" si="3"/>
        <v>0.01</v>
      </c>
      <c r="F33" s="163"/>
      <c r="G33" s="450"/>
      <c r="L33" s="322"/>
      <c r="BA33" s="3"/>
      <c r="BB33" s="163"/>
      <c r="BD33" s="472"/>
      <c r="BE33" s="469"/>
      <c r="BF33" s="469"/>
      <c r="BG33" s="469"/>
      <c r="BH33" s="469"/>
      <c r="BI33" s="469"/>
      <c r="BJ33" s="469"/>
      <c r="BK33" s="469"/>
      <c r="BL33" s="476"/>
      <c r="BM33" s="469"/>
      <c r="BN33" s="469"/>
      <c r="BO33" s="469"/>
      <c r="BP33" s="469"/>
      <c r="BQ33" s="469"/>
      <c r="BR33" s="469"/>
    </row>
    <row r="34" spans="1:70" ht="18" customHeight="1" x14ac:dyDescent="0.3">
      <c r="A34" s="495"/>
      <c r="B34" s="6">
        <v>9</v>
      </c>
      <c r="C34" s="487" t="s">
        <v>40</v>
      </c>
      <c r="D34" s="479" t="s">
        <v>9</v>
      </c>
      <c r="E34" s="202">
        <f t="shared" si="3"/>
        <v>0.85</v>
      </c>
      <c r="F34" s="163"/>
      <c r="G34" s="450"/>
      <c r="I34" s="497" t="s">
        <v>60</v>
      </c>
      <c r="J34" s="498" t="s">
        <v>7</v>
      </c>
      <c r="K34" s="483">
        <f t="shared" ref="K34" si="4">NPV($E$62,L34:AZ34)</f>
        <v>15564.234324076235</v>
      </c>
      <c r="L34" s="499">
        <f>SUM(L26:L31)</f>
        <v>14041.000000000002</v>
      </c>
      <c r="M34" s="499">
        <f>SUM(M26:M31)</f>
        <v>866.9583738412</v>
      </c>
      <c r="N34" s="499">
        <f t="shared" ref="N34:AZ34" si="5">SUM(N26:N31)</f>
        <v>217.91974703344152</v>
      </c>
      <c r="O34" s="499">
        <f t="shared" si="5"/>
        <v>375.01794355281396</v>
      </c>
      <c r="P34" s="499">
        <f t="shared" si="5"/>
        <v>395.48202362921757</v>
      </c>
      <c r="Q34" s="499">
        <f t="shared" si="5"/>
        <v>404.11007568520654</v>
      </c>
      <c r="R34" s="499">
        <f t="shared" si="5"/>
        <v>410.0295381962232</v>
      </c>
      <c r="S34" s="499">
        <f t="shared" si="5"/>
        <v>418.18767089759308</v>
      </c>
      <c r="T34" s="499">
        <f t="shared" si="5"/>
        <v>426.50896625299032</v>
      </c>
      <c r="U34" s="499">
        <f t="shared" si="5"/>
        <v>434.99668751549558</v>
      </c>
      <c r="V34" s="499">
        <f t="shared" si="5"/>
        <v>443.6541632032509</v>
      </c>
      <c r="W34" s="499">
        <f t="shared" si="5"/>
        <v>455.14514143801381</v>
      </c>
      <c r="X34" s="499">
        <f t="shared" si="5"/>
        <v>464.15237914355447</v>
      </c>
      <c r="Y34" s="499">
        <f t="shared" si="5"/>
        <v>473.33976160320589</v>
      </c>
      <c r="Z34" s="499">
        <f t="shared" si="5"/>
        <v>482.71089171205034</v>
      </c>
      <c r="AA34" s="499">
        <f t="shared" si="5"/>
        <v>492.26944442307172</v>
      </c>
      <c r="AB34" s="499">
        <f t="shared" si="5"/>
        <v>501.39316107514401</v>
      </c>
      <c r="AC34" s="499">
        <f t="shared" si="5"/>
        <v>677.41821211553474</v>
      </c>
      <c r="AD34" s="499">
        <f t="shared" si="5"/>
        <v>812.45186110475242</v>
      </c>
      <c r="AE34" s="499">
        <f t="shared" si="5"/>
        <v>834.56172404613142</v>
      </c>
      <c r="AF34" s="499">
        <f t="shared" si="5"/>
        <v>856.81789204536005</v>
      </c>
      <c r="AG34" s="499">
        <f t="shared" si="5"/>
        <v>0</v>
      </c>
      <c r="AH34" s="499">
        <f t="shared" si="5"/>
        <v>0</v>
      </c>
      <c r="AI34" s="499">
        <f t="shared" si="5"/>
        <v>0</v>
      </c>
      <c r="AJ34" s="499">
        <f t="shared" si="5"/>
        <v>0</v>
      </c>
      <c r="AK34" s="499">
        <f t="shared" si="5"/>
        <v>0</v>
      </c>
      <c r="AL34" s="499">
        <f t="shared" si="5"/>
        <v>0</v>
      </c>
      <c r="AM34" s="499">
        <f t="shared" si="5"/>
        <v>0</v>
      </c>
      <c r="AN34" s="499">
        <f t="shared" si="5"/>
        <v>0</v>
      </c>
      <c r="AO34" s="499">
        <f t="shared" si="5"/>
        <v>0</v>
      </c>
      <c r="AP34" s="499">
        <f t="shared" si="5"/>
        <v>0</v>
      </c>
      <c r="AQ34" s="499">
        <f t="shared" si="5"/>
        <v>0</v>
      </c>
      <c r="AR34" s="499">
        <f t="shared" si="5"/>
        <v>0</v>
      </c>
      <c r="AS34" s="499">
        <f t="shared" si="5"/>
        <v>0</v>
      </c>
      <c r="AT34" s="499">
        <f t="shared" si="5"/>
        <v>0</v>
      </c>
      <c r="AU34" s="499">
        <f t="shared" si="5"/>
        <v>0</v>
      </c>
      <c r="AV34" s="499">
        <f t="shared" si="5"/>
        <v>0</v>
      </c>
      <c r="AW34" s="499">
        <f t="shared" si="5"/>
        <v>0</v>
      </c>
      <c r="AX34" s="499">
        <f t="shared" si="5"/>
        <v>0</v>
      </c>
      <c r="AY34" s="499">
        <f t="shared" si="5"/>
        <v>0</v>
      </c>
      <c r="AZ34" s="499">
        <f t="shared" si="5"/>
        <v>0</v>
      </c>
      <c r="BA34" s="500"/>
      <c r="BB34" s="163"/>
      <c r="BD34" s="472"/>
      <c r="BE34" s="469"/>
      <c r="BF34" s="469"/>
      <c r="BG34" s="469"/>
      <c r="BH34" s="469"/>
      <c r="BI34" s="469"/>
      <c r="BJ34" s="469"/>
      <c r="BK34" s="469"/>
      <c r="BL34" s="476"/>
      <c r="BM34" s="469"/>
      <c r="BN34" s="469"/>
      <c r="BO34" s="469"/>
      <c r="BP34" s="469"/>
      <c r="BQ34" s="469"/>
      <c r="BR34" s="469"/>
    </row>
    <row r="35" spans="1:70" x14ac:dyDescent="0.3">
      <c r="A35" s="495"/>
      <c r="B35" s="6">
        <v>10</v>
      </c>
      <c r="C35" s="487" t="s">
        <v>41</v>
      </c>
      <c r="D35" s="479" t="s">
        <v>9</v>
      </c>
      <c r="E35" s="202">
        <f t="shared" si="3"/>
        <v>0.2</v>
      </c>
      <c r="F35" s="163"/>
      <c r="G35" s="450"/>
      <c r="J35" s="474"/>
      <c r="L35" s="322"/>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BB35" s="163"/>
      <c r="BD35" s="472"/>
      <c r="BE35" s="469"/>
      <c r="BF35" s="469"/>
      <c r="BG35" s="469"/>
      <c r="BH35" s="469"/>
      <c r="BI35" s="469"/>
      <c r="BJ35" s="469"/>
      <c r="BK35" s="469"/>
      <c r="BL35" s="476"/>
      <c r="BM35" s="469"/>
      <c r="BN35" s="469"/>
      <c r="BO35" s="469"/>
      <c r="BP35" s="469"/>
      <c r="BQ35" s="469"/>
      <c r="BR35" s="469"/>
    </row>
    <row r="36" spans="1:70" x14ac:dyDescent="0.3">
      <c r="A36" s="495"/>
      <c r="B36" s="6">
        <v>11</v>
      </c>
      <c r="C36" s="487" t="s">
        <v>42</v>
      </c>
      <c r="D36" s="479" t="s">
        <v>9</v>
      </c>
      <c r="E36" s="202">
        <f t="shared" si="3"/>
        <v>1</v>
      </c>
      <c r="F36" s="163"/>
      <c r="G36" s="450"/>
      <c r="J36" s="474"/>
      <c r="AG36" s="3"/>
      <c r="AH36" s="3"/>
      <c r="AI36" s="3"/>
      <c r="AJ36" s="3"/>
      <c r="AK36" s="3"/>
      <c r="AL36" s="3"/>
      <c r="AM36" s="3"/>
      <c r="AN36" s="3"/>
      <c r="AO36" s="3"/>
      <c r="AP36" s="3"/>
      <c r="BB36" s="163"/>
      <c r="BD36" s="472"/>
      <c r="BE36" s="469"/>
      <c r="BF36" s="469"/>
      <c r="BG36" s="469"/>
      <c r="BH36" s="469"/>
      <c r="BI36" s="469"/>
      <c r="BJ36" s="469"/>
      <c r="BK36" s="469"/>
      <c r="BL36" s="476"/>
      <c r="BM36" s="469"/>
      <c r="BN36" s="469"/>
      <c r="BO36" s="469"/>
      <c r="BP36" s="469"/>
      <c r="BQ36" s="469"/>
      <c r="BR36" s="469"/>
    </row>
    <row r="37" spans="1:70" x14ac:dyDescent="0.3">
      <c r="A37" s="495"/>
      <c r="B37" s="6">
        <v>12</v>
      </c>
      <c r="C37" s="487" t="s">
        <v>44</v>
      </c>
      <c r="D37" s="479" t="s">
        <v>9</v>
      </c>
      <c r="E37" s="202">
        <f t="shared" si="3"/>
        <v>0.95</v>
      </c>
      <c r="F37" s="163"/>
      <c r="G37" s="450"/>
      <c r="J37" s="489"/>
      <c r="BB37" s="163"/>
      <c r="BD37" s="472"/>
      <c r="BE37" s="469"/>
      <c r="BF37" s="469"/>
      <c r="BG37" s="469"/>
      <c r="BH37" s="469"/>
      <c r="BI37" s="469"/>
      <c r="BJ37" s="469"/>
      <c r="BK37" s="469"/>
      <c r="BL37" s="476"/>
      <c r="BM37" s="469"/>
      <c r="BN37" s="469"/>
      <c r="BO37" s="469"/>
      <c r="BP37" s="469"/>
      <c r="BQ37" s="469"/>
      <c r="BR37" s="469"/>
    </row>
    <row r="38" spans="1:70" ht="18" x14ac:dyDescent="0.3">
      <c r="A38" s="495"/>
      <c r="B38" s="6">
        <v>13</v>
      </c>
      <c r="C38" s="487" t="s">
        <v>45</v>
      </c>
      <c r="D38" s="479" t="s">
        <v>22</v>
      </c>
      <c r="E38" s="203">
        <f>INDEX(InputsMatrix,$E$16,$B38)</f>
        <v>20</v>
      </c>
      <c r="F38" s="163"/>
      <c r="G38" s="490"/>
      <c r="H38" s="451" t="s">
        <v>102</v>
      </c>
      <c r="I38" s="451"/>
      <c r="J38" s="451"/>
      <c r="K38" s="451"/>
      <c r="L38" s="451"/>
      <c r="M38" s="451"/>
      <c r="N38" s="451"/>
      <c r="O38" s="451"/>
      <c r="P38" s="451"/>
      <c r="Q38" s="451"/>
      <c r="R38" s="451"/>
      <c r="S38" s="451"/>
      <c r="T38" s="451"/>
      <c r="U38" s="451"/>
      <c r="V38" s="451"/>
      <c r="W38" s="451"/>
      <c r="X38" s="451"/>
      <c r="Y38" s="451"/>
      <c r="Z38" s="451"/>
      <c r="AA38" s="451"/>
      <c r="AB38" s="451"/>
      <c r="AC38" s="451"/>
      <c r="AD38" s="451"/>
      <c r="AE38" s="451"/>
      <c r="AF38" s="451"/>
      <c r="AG38" s="451"/>
      <c r="AH38" s="451"/>
      <c r="AI38" s="451"/>
      <c r="AJ38" s="451"/>
      <c r="AK38" s="451"/>
      <c r="AL38" s="451"/>
      <c r="AM38" s="451"/>
      <c r="AN38" s="451"/>
      <c r="AO38" s="451"/>
      <c r="AP38" s="451"/>
      <c r="AQ38" s="451"/>
      <c r="AR38" s="451"/>
      <c r="AS38" s="451"/>
      <c r="AT38" s="451"/>
      <c r="AU38" s="451"/>
      <c r="AV38" s="451"/>
      <c r="AW38" s="451"/>
      <c r="AX38" s="451"/>
      <c r="AY38" s="451"/>
      <c r="AZ38" s="451"/>
      <c r="BB38" s="163"/>
      <c r="BD38" s="472"/>
      <c r="BE38" s="469"/>
      <c r="BF38" s="469"/>
      <c r="BG38" s="469"/>
      <c r="BH38" s="469"/>
      <c r="BI38" s="469"/>
      <c r="BJ38" s="469"/>
      <c r="BK38" s="469"/>
      <c r="BL38" s="476"/>
      <c r="BM38" s="469"/>
      <c r="BN38" s="469"/>
      <c r="BO38" s="469"/>
      <c r="BP38" s="469"/>
      <c r="BQ38" s="469"/>
      <c r="BR38" s="469"/>
    </row>
    <row r="39" spans="1:70" x14ac:dyDescent="0.3">
      <c r="A39" s="495"/>
      <c r="B39" s="6">
        <v>14</v>
      </c>
      <c r="C39" s="493" t="s">
        <v>47</v>
      </c>
      <c r="D39" s="479" t="s">
        <v>43</v>
      </c>
      <c r="E39" s="491">
        <f t="shared" si="3"/>
        <v>365</v>
      </c>
      <c r="F39" s="163"/>
      <c r="G39" s="450"/>
      <c r="H39" s="2"/>
      <c r="L39" s="36">
        <f t="shared" ref="L39:AZ39" si="6">L17</f>
        <v>0</v>
      </c>
      <c r="M39" s="36">
        <f t="shared" si="6"/>
        <v>1</v>
      </c>
      <c r="N39" s="36">
        <f t="shared" si="6"/>
        <v>2</v>
      </c>
      <c r="O39" s="36">
        <f t="shared" si="6"/>
        <v>3</v>
      </c>
      <c r="P39" s="36">
        <f t="shared" si="6"/>
        <v>4</v>
      </c>
      <c r="Q39" s="36">
        <f t="shared" si="6"/>
        <v>5</v>
      </c>
      <c r="R39" s="36">
        <f t="shared" si="6"/>
        <v>6</v>
      </c>
      <c r="S39" s="36">
        <f t="shared" si="6"/>
        <v>7</v>
      </c>
      <c r="T39" s="36">
        <f t="shared" si="6"/>
        <v>8</v>
      </c>
      <c r="U39" s="36">
        <f t="shared" si="6"/>
        <v>9</v>
      </c>
      <c r="V39" s="36">
        <f t="shared" si="6"/>
        <v>10</v>
      </c>
      <c r="W39" s="36">
        <f t="shared" si="6"/>
        <v>11</v>
      </c>
      <c r="X39" s="36">
        <f t="shared" si="6"/>
        <v>12</v>
      </c>
      <c r="Y39" s="36">
        <f t="shared" si="6"/>
        <v>13</v>
      </c>
      <c r="Z39" s="36">
        <f t="shared" si="6"/>
        <v>14</v>
      </c>
      <c r="AA39" s="36">
        <f t="shared" si="6"/>
        <v>15</v>
      </c>
      <c r="AB39" s="36">
        <f t="shared" si="6"/>
        <v>16</v>
      </c>
      <c r="AC39" s="36">
        <f t="shared" si="6"/>
        <v>17</v>
      </c>
      <c r="AD39" s="36">
        <f t="shared" si="6"/>
        <v>18</v>
      </c>
      <c r="AE39" s="36">
        <f t="shared" si="6"/>
        <v>19</v>
      </c>
      <c r="AF39" s="36">
        <f t="shared" si="6"/>
        <v>20</v>
      </c>
      <c r="AG39" s="36">
        <f t="shared" si="6"/>
        <v>21</v>
      </c>
      <c r="AH39" s="36">
        <f t="shared" si="6"/>
        <v>22</v>
      </c>
      <c r="AI39" s="36">
        <f t="shared" si="6"/>
        <v>23</v>
      </c>
      <c r="AJ39" s="36">
        <f t="shared" si="6"/>
        <v>24</v>
      </c>
      <c r="AK39" s="36">
        <f t="shared" si="6"/>
        <v>25</v>
      </c>
      <c r="AL39" s="36">
        <f t="shared" si="6"/>
        <v>26</v>
      </c>
      <c r="AM39" s="36">
        <f t="shared" si="6"/>
        <v>27</v>
      </c>
      <c r="AN39" s="36">
        <f t="shared" si="6"/>
        <v>28</v>
      </c>
      <c r="AO39" s="36">
        <f t="shared" si="6"/>
        <v>29</v>
      </c>
      <c r="AP39" s="36">
        <f t="shared" si="6"/>
        <v>30</v>
      </c>
      <c r="AQ39" s="36">
        <f t="shared" si="6"/>
        <v>31</v>
      </c>
      <c r="AR39" s="36">
        <f t="shared" si="6"/>
        <v>32</v>
      </c>
      <c r="AS39" s="36">
        <f t="shared" si="6"/>
        <v>33</v>
      </c>
      <c r="AT39" s="36">
        <f t="shared" si="6"/>
        <v>34</v>
      </c>
      <c r="AU39" s="36">
        <f t="shared" si="6"/>
        <v>35</v>
      </c>
      <c r="AV39" s="36">
        <f t="shared" si="6"/>
        <v>36</v>
      </c>
      <c r="AW39" s="36">
        <f t="shared" si="6"/>
        <v>37</v>
      </c>
      <c r="AX39" s="36">
        <f t="shared" si="6"/>
        <v>38</v>
      </c>
      <c r="AY39" s="36">
        <f t="shared" si="6"/>
        <v>39</v>
      </c>
      <c r="AZ39" s="36">
        <f t="shared" si="6"/>
        <v>40</v>
      </c>
      <c r="BB39" s="163"/>
      <c r="BD39" s="472"/>
      <c r="BE39" s="469"/>
      <c r="BF39" s="469"/>
      <c r="BG39" s="469"/>
      <c r="BH39" s="469"/>
      <c r="BI39" s="469"/>
      <c r="BJ39" s="469"/>
      <c r="BK39" s="469"/>
      <c r="BL39" s="476"/>
      <c r="BM39" s="469"/>
      <c r="BN39" s="469"/>
      <c r="BO39" s="469"/>
      <c r="BP39" s="469"/>
      <c r="BQ39" s="469"/>
      <c r="BR39" s="469"/>
    </row>
    <row r="40" spans="1:70" ht="15.6" x14ac:dyDescent="0.3">
      <c r="A40" s="495"/>
      <c r="B40" s="6">
        <v>15</v>
      </c>
      <c r="C40" s="493" t="s">
        <v>48</v>
      </c>
      <c r="D40" s="479" t="s">
        <v>9</v>
      </c>
      <c r="E40" s="325">
        <f t="shared" si="3"/>
        <v>0</v>
      </c>
      <c r="F40" s="501"/>
      <c r="G40" s="450"/>
      <c r="H40" s="2"/>
      <c r="I40" s="453" t="str">
        <f>I18</f>
        <v>Year</v>
      </c>
      <c r="J40" s="453"/>
      <c r="K40" s="453"/>
      <c r="L40" s="453">
        <f t="shared" ref="L40:AZ40" si="7">L18</f>
        <v>2027</v>
      </c>
      <c r="M40" s="453">
        <f t="shared" si="7"/>
        <v>2028</v>
      </c>
      <c r="N40" s="453">
        <f t="shared" si="7"/>
        <v>2029</v>
      </c>
      <c r="O40" s="453">
        <f t="shared" si="7"/>
        <v>2030</v>
      </c>
      <c r="P40" s="453">
        <f t="shared" si="7"/>
        <v>2031</v>
      </c>
      <c r="Q40" s="453">
        <f t="shared" si="7"/>
        <v>2032</v>
      </c>
      <c r="R40" s="453">
        <f t="shared" si="7"/>
        <v>2033</v>
      </c>
      <c r="S40" s="453">
        <f t="shared" si="7"/>
        <v>2034</v>
      </c>
      <c r="T40" s="453">
        <f t="shared" si="7"/>
        <v>2035</v>
      </c>
      <c r="U40" s="453">
        <f t="shared" si="7"/>
        <v>2036</v>
      </c>
      <c r="V40" s="453">
        <f t="shared" si="7"/>
        <v>2037</v>
      </c>
      <c r="W40" s="453">
        <f t="shared" si="7"/>
        <v>2038</v>
      </c>
      <c r="X40" s="453">
        <f t="shared" si="7"/>
        <v>2039</v>
      </c>
      <c r="Y40" s="453">
        <f t="shared" si="7"/>
        <v>2040</v>
      </c>
      <c r="Z40" s="453">
        <f t="shared" si="7"/>
        <v>2041</v>
      </c>
      <c r="AA40" s="453">
        <f t="shared" si="7"/>
        <v>2042</v>
      </c>
      <c r="AB40" s="453">
        <f t="shared" si="7"/>
        <v>2043</v>
      </c>
      <c r="AC40" s="453">
        <f t="shared" si="7"/>
        <v>2044</v>
      </c>
      <c r="AD40" s="453">
        <f t="shared" si="7"/>
        <v>2045</v>
      </c>
      <c r="AE40" s="453">
        <f t="shared" si="7"/>
        <v>2046</v>
      </c>
      <c r="AF40" s="453">
        <f t="shared" si="7"/>
        <v>2047</v>
      </c>
      <c r="AG40" s="453">
        <f t="shared" si="7"/>
        <v>2048</v>
      </c>
      <c r="AH40" s="453">
        <f t="shared" si="7"/>
        <v>2049</v>
      </c>
      <c r="AI40" s="453">
        <f t="shared" si="7"/>
        <v>2050</v>
      </c>
      <c r="AJ40" s="453">
        <f t="shared" si="7"/>
        <v>2051</v>
      </c>
      <c r="AK40" s="453">
        <f t="shared" si="7"/>
        <v>2052</v>
      </c>
      <c r="AL40" s="453">
        <f t="shared" si="7"/>
        <v>2053</v>
      </c>
      <c r="AM40" s="453">
        <f t="shared" si="7"/>
        <v>2054</v>
      </c>
      <c r="AN40" s="453">
        <f t="shared" si="7"/>
        <v>2055</v>
      </c>
      <c r="AO40" s="453">
        <f t="shared" si="7"/>
        <v>2056</v>
      </c>
      <c r="AP40" s="453">
        <f t="shared" si="7"/>
        <v>2057</v>
      </c>
      <c r="AQ40" s="453">
        <f t="shared" si="7"/>
        <v>2058</v>
      </c>
      <c r="AR40" s="453">
        <f t="shared" si="7"/>
        <v>2059</v>
      </c>
      <c r="AS40" s="453">
        <f t="shared" si="7"/>
        <v>2060</v>
      </c>
      <c r="AT40" s="453">
        <f t="shared" si="7"/>
        <v>2061</v>
      </c>
      <c r="AU40" s="453">
        <f t="shared" si="7"/>
        <v>2062</v>
      </c>
      <c r="AV40" s="453">
        <f t="shared" si="7"/>
        <v>2063</v>
      </c>
      <c r="AW40" s="453">
        <f t="shared" si="7"/>
        <v>2064</v>
      </c>
      <c r="AX40" s="453">
        <f t="shared" si="7"/>
        <v>2065</v>
      </c>
      <c r="AY40" s="453">
        <f t="shared" si="7"/>
        <v>2066</v>
      </c>
      <c r="AZ40" s="453">
        <f t="shared" si="7"/>
        <v>2067</v>
      </c>
      <c r="BB40" s="163"/>
      <c r="BD40" s="472"/>
      <c r="BE40" s="469"/>
      <c r="BF40" s="469"/>
      <c r="BG40" s="469"/>
      <c r="BH40" s="469"/>
      <c r="BI40" s="469"/>
      <c r="BJ40" s="469"/>
      <c r="BK40" s="469"/>
      <c r="BL40" s="476"/>
      <c r="BM40" s="469"/>
      <c r="BN40" s="469"/>
      <c r="BO40" s="469"/>
      <c r="BP40" s="469"/>
      <c r="BQ40" s="469"/>
      <c r="BR40" s="469"/>
    </row>
    <row r="41" spans="1:70" x14ac:dyDescent="0.3">
      <c r="A41" s="495"/>
      <c r="C41" s="490" t="s">
        <v>49</v>
      </c>
      <c r="E41" s="491"/>
      <c r="F41" s="163"/>
      <c r="G41" s="450"/>
      <c r="H41" s="2"/>
      <c r="L41" s="502"/>
      <c r="M41" s="502"/>
      <c r="N41" s="502"/>
      <c r="O41" s="502"/>
      <c r="P41" s="502"/>
      <c r="Q41" s="502"/>
      <c r="R41" s="502"/>
      <c r="S41" s="502"/>
      <c r="T41" s="502"/>
      <c r="U41" s="502"/>
      <c r="V41" s="502"/>
      <c r="W41" s="502"/>
      <c r="X41" s="502"/>
      <c r="Y41" s="502"/>
      <c r="Z41" s="502"/>
      <c r="AA41" s="502"/>
      <c r="AB41" s="502"/>
      <c r="AC41" s="502"/>
      <c r="AD41" s="502"/>
      <c r="AE41" s="502"/>
      <c r="AF41" s="502"/>
      <c r="AG41" s="502"/>
      <c r="AH41" s="502"/>
      <c r="AI41" s="502"/>
      <c r="AJ41" s="502"/>
      <c r="AK41" s="502"/>
      <c r="AL41" s="502"/>
      <c r="AM41" s="502"/>
      <c r="AN41" s="502"/>
      <c r="AO41" s="502"/>
      <c r="AP41" s="502"/>
      <c r="AQ41" s="502"/>
      <c r="AR41" s="502"/>
      <c r="AS41" s="502"/>
      <c r="AT41" s="502"/>
      <c r="AU41" s="502"/>
      <c r="AV41" s="502"/>
      <c r="AW41" s="502"/>
      <c r="AX41" s="502"/>
      <c r="AY41" s="502"/>
      <c r="AZ41" s="502"/>
      <c r="BB41" s="163"/>
      <c r="BD41" s="472"/>
      <c r="BE41" s="469"/>
      <c r="BF41" s="469"/>
      <c r="BG41" s="469"/>
      <c r="BH41" s="469"/>
      <c r="BI41" s="469"/>
      <c r="BJ41" s="469"/>
      <c r="BK41" s="469"/>
      <c r="BL41" s="476"/>
      <c r="BM41" s="469"/>
      <c r="BN41" s="469"/>
      <c r="BO41" s="469"/>
      <c r="BP41" s="469"/>
      <c r="BQ41" s="469"/>
      <c r="BR41" s="469"/>
    </row>
    <row r="42" spans="1:70" x14ac:dyDescent="0.3">
      <c r="A42" s="495"/>
      <c r="B42" s="6">
        <v>26</v>
      </c>
      <c r="C42" s="503" t="s">
        <v>491</v>
      </c>
      <c r="D42" s="479" t="s">
        <v>7</v>
      </c>
      <c r="E42" s="504">
        <f>INDEX(InputsMatrix,$E$16,$B42)</f>
        <v>14041</v>
      </c>
      <c r="F42" s="163"/>
      <c r="G42" s="450"/>
      <c r="H42" s="2"/>
      <c r="L42" s="505"/>
      <c r="M42" s="505"/>
      <c r="N42" s="505"/>
      <c r="O42" s="505"/>
      <c r="P42" s="505"/>
      <c r="Q42" s="505"/>
      <c r="R42" s="505"/>
      <c r="S42" s="505"/>
      <c r="T42" s="505"/>
      <c r="U42" s="505"/>
      <c r="V42" s="505"/>
      <c r="W42" s="505"/>
      <c r="X42" s="505"/>
      <c r="Y42" s="505"/>
      <c r="Z42" s="505"/>
      <c r="AA42" s="505"/>
      <c r="AB42" s="505"/>
      <c r="AC42" s="505"/>
      <c r="AD42" s="505"/>
      <c r="AE42" s="505"/>
      <c r="AF42" s="505"/>
      <c r="AG42" s="505"/>
      <c r="AH42" s="505"/>
      <c r="AI42" s="505"/>
      <c r="AJ42" s="505"/>
      <c r="AK42" s="505"/>
      <c r="AL42" s="505"/>
      <c r="AM42" s="505"/>
      <c r="AN42" s="505"/>
      <c r="AO42" s="505"/>
      <c r="AP42" s="505"/>
      <c r="AQ42" s="505"/>
      <c r="AR42" s="505"/>
      <c r="AS42" s="505"/>
      <c r="AT42" s="505"/>
      <c r="AU42" s="505"/>
      <c r="AV42" s="505"/>
      <c r="AW42" s="505"/>
      <c r="AX42" s="505"/>
      <c r="AY42" s="505"/>
      <c r="AZ42" s="505"/>
      <c r="BB42" s="163"/>
      <c r="BD42" s="472"/>
      <c r="BE42" s="469"/>
      <c r="BF42" s="469"/>
      <c r="BG42" s="469"/>
      <c r="BH42" s="469"/>
      <c r="BI42" s="469"/>
      <c r="BJ42" s="469"/>
      <c r="BK42" s="469"/>
      <c r="BL42" s="476"/>
      <c r="BM42" s="469"/>
      <c r="BN42" s="469"/>
      <c r="BO42" s="469"/>
      <c r="BP42" s="469"/>
      <c r="BQ42" s="469"/>
      <c r="BR42" s="469"/>
    </row>
    <row r="43" spans="1:70" x14ac:dyDescent="0.3">
      <c r="A43" s="495"/>
      <c r="B43" s="6">
        <v>27</v>
      </c>
      <c r="C43" s="487" t="s">
        <v>63</v>
      </c>
      <c r="D43" s="479" t="s">
        <v>7</v>
      </c>
      <c r="E43" s="504">
        <f>INDEX(InputsMatrix,$E$16,$B43)</f>
        <v>0</v>
      </c>
      <c r="F43" s="163"/>
      <c r="G43" s="450"/>
      <c r="H43" s="2"/>
      <c r="M43" s="506"/>
      <c r="N43" s="301"/>
      <c r="BB43" s="163"/>
      <c r="BD43" s="472"/>
      <c r="BE43" s="469"/>
      <c r="BF43" s="469"/>
      <c r="BG43" s="469"/>
      <c r="BH43" s="469"/>
      <c r="BI43" s="469"/>
      <c r="BJ43" s="469"/>
      <c r="BK43" s="469"/>
      <c r="BL43" s="476"/>
      <c r="BM43" s="469"/>
      <c r="BN43" s="469"/>
      <c r="BO43" s="469"/>
      <c r="BP43" s="469"/>
      <c r="BQ43" s="469"/>
      <c r="BR43" s="469"/>
    </row>
    <row r="44" spans="1:70" x14ac:dyDescent="0.3">
      <c r="A44" s="495"/>
      <c r="B44" s="6">
        <v>28</v>
      </c>
      <c r="C44" s="487" t="s">
        <v>64</v>
      </c>
      <c r="D44" s="479" t="s">
        <v>65</v>
      </c>
      <c r="E44" s="326">
        <f>INDEX(InputsMatrix,$E$16,$B44)</f>
        <v>0</v>
      </c>
      <c r="F44" s="163"/>
      <c r="G44" s="473">
        <v>1</v>
      </c>
      <c r="I44" s="507" t="str">
        <f>Benefits!E8</f>
        <v>Capacity - PJM Market</v>
      </c>
      <c r="J44" t="s">
        <v>7</v>
      </c>
      <c r="K44" s="483">
        <f>NPV($E$62,L44:AZ44)</f>
        <v>0</v>
      </c>
      <c r="L44" s="434">
        <v>0</v>
      </c>
      <c r="M44" s="508" cm="1">
        <f t="array" ref="M44">IF(M$40&gt;2060,0,INDEX(revenueMatrixNew,($E$16-1)*40+$G44+2,M$40-2024))*(M$39&lt;=$E$28)</f>
        <v>0</v>
      </c>
      <c r="N44" s="508" cm="1">
        <f t="array" ref="N44">IF(N$40&gt;2060,0,INDEX(revenueMatrixNew,($E$16-1)*40+$G44+2,N$40-2024))*(N$39&lt;=$E$28)</f>
        <v>0</v>
      </c>
      <c r="O44" s="508" cm="1">
        <f t="array" ref="O44">IF(O$40&gt;2060,0,INDEX(revenueMatrixNew,($E$16-1)*40+$G44+2,O$40-2024))*(O$39&lt;=$E$28)</f>
        <v>0</v>
      </c>
      <c r="P44" s="508" cm="1">
        <f t="array" ref="P44">IF(P$40&gt;2060,0,INDEX(revenueMatrixNew,($E$16-1)*40+$G44+2,P$40-2024))*(P$39&lt;=$E$28)</f>
        <v>0</v>
      </c>
      <c r="Q44" s="508" cm="1">
        <f t="array" ref="Q44">IF(Q$40&gt;2060,0,INDEX(revenueMatrixNew,($E$16-1)*40+$G44+2,Q$40-2024))*(Q$39&lt;=$E$28)</f>
        <v>0</v>
      </c>
      <c r="R44" s="508" cm="1">
        <f t="array" ref="R44">IF(R$40&gt;2060,0,INDEX(revenueMatrixNew,($E$16-1)*40+$G44+2,R$40-2024))*(R$39&lt;=$E$28)</f>
        <v>0</v>
      </c>
      <c r="S44" s="508" cm="1">
        <f t="array" ref="S44">IF(S$40&gt;2060,0,INDEX(revenueMatrixNew,($E$16-1)*40+$G44+2,S$40-2024))*(S$39&lt;=$E$28)</f>
        <v>0</v>
      </c>
      <c r="T44" s="508" cm="1">
        <f t="array" ref="T44">IF(T$40&gt;2060,0,INDEX(revenueMatrixNew,($E$16-1)*40+$G44+2,T$40-2024))*(T$39&lt;=$E$28)</f>
        <v>0</v>
      </c>
      <c r="U44" s="508" cm="1">
        <f t="array" ref="U44">IF(U$40&gt;2060,0,INDEX(revenueMatrixNew,($E$16-1)*40+$G44+2,U$40-2024))*(U$39&lt;=$E$28)</f>
        <v>0</v>
      </c>
      <c r="V44" s="508" cm="1">
        <f t="array" ref="V44">IF(V$40&gt;2060,0,INDEX(revenueMatrixNew,($E$16-1)*40+$G44+2,V$40-2024))*(V$39&lt;=$E$28)</f>
        <v>0</v>
      </c>
      <c r="W44" s="508" cm="1">
        <f t="array" ref="W44">IF(W$40&gt;2060,0,INDEX(revenueMatrixNew,($E$16-1)*40+$G44+2,W$40-2024))*(W$39&lt;=$E$28)</f>
        <v>0</v>
      </c>
      <c r="X44" s="508" cm="1">
        <f t="array" ref="X44">IF(X$40&gt;2060,0,INDEX(revenueMatrixNew,($E$16-1)*40+$G44+2,X$40-2024))*(X$39&lt;=$E$28)</f>
        <v>0</v>
      </c>
      <c r="Y44" s="508" cm="1">
        <f t="array" ref="Y44">IF(Y$40&gt;2060,0,INDEX(revenueMatrixNew,($E$16-1)*40+$G44+2,Y$40-2024))*(Y$39&lt;=$E$28)</f>
        <v>0</v>
      </c>
      <c r="Z44" s="508" cm="1">
        <f t="array" ref="Z44">IF(Z$40&gt;2060,0,INDEX(revenueMatrixNew,($E$16-1)*40+$G44+2,Z$40-2024))*(Z$39&lt;=$E$28)</f>
        <v>0</v>
      </c>
      <c r="AA44" s="508" cm="1">
        <f t="array" ref="AA44">IF(AA$40&gt;2060,0,INDEX(revenueMatrixNew,($E$16-1)*40+$G44+2,AA$40-2024))*(AA$39&lt;=$E$28)</f>
        <v>0</v>
      </c>
      <c r="AB44" s="508" cm="1">
        <f t="array" ref="AB44">IF(AB$40&gt;2060,0,INDEX(revenueMatrixNew,($E$16-1)*40+$G44+2,AB$40-2024))*(AB$39&lt;=$E$28)</f>
        <v>0</v>
      </c>
      <c r="AC44" s="508" cm="1">
        <f t="array" ref="AC44">IF(AC$40&gt;2060,0,INDEX(revenueMatrixNew,($E$16-1)*40+$G44+2,AC$40-2024))*(AC$39&lt;=$E$28)</f>
        <v>0</v>
      </c>
      <c r="AD44" s="508" cm="1">
        <f t="array" ref="AD44">IF(AD$40&gt;2060,0,INDEX(revenueMatrixNew,($E$16-1)*40+$G44+2,AD$40-2024))*(AD$39&lt;=$E$28)</f>
        <v>0</v>
      </c>
      <c r="AE44" s="508" cm="1">
        <f t="array" ref="AE44">IF(AE$40&gt;2060,0,INDEX(revenueMatrixNew,($E$16-1)*40+$G44+2,AE$40-2024))*(AE$39&lt;=$E$28)</f>
        <v>0</v>
      </c>
      <c r="AF44" s="508" cm="1">
        <f t="array" ref="AF44">IF(AF$40&gt;2060,0,INDEX(revenueMatrixNew,($E$16-1)*40+$G44+2,AF$40-2024))*(AF$39&lt;=$E$28)</f>
        <v>0</v>
      </c>
      <c r="AG44" s="508"/>
      <c r="AH44" s="508"/>
      <c r="AI44" s="508"/>
      <c r="AJ44" s="508"/>
      <c r="AK44" s="508"/>
      <c r="AL44" s="508"/>
      <c r="AM44" s="508"/>
      <c r="AN44" s="508"/>
      <c r="AO44" s="508"/>
      <c r="AP44" s="508"/>
      <c r="AQ44" s="508"/>
      <c r="AR44" s="508"/>
      <c r="AS44" s="508"/>
      <c r="AT44" s="508"/>
      <c r="AU44" s="508" cm="1">
        <f t="array" ref="AU44">IF(AU$40&gt;2060,0,INDEX(revenueMatrixNew,($E$16-1)*40+$G44+2,AU$40-2024))*(AU$39&lt;=$E$28)</f>
        <v>0</v>
      </c>
      <c r="AV44" s="508" cm="1">
        <f t="array" ref="AV44">IF(AV$40&gt;2060,0,INDEX(revenueMatrixNew,($E$16-1)*40+$G44+2,AV$40-2024))*(AV$39&lt;=$E$28)</f>
        <v>0</v>
      </c>
      <c r="AW44" s="508" cm="1">
        <f t="array" ref="AW44">IF(AW$40&gt;2060,0,INDEX(revenueMatrixNew,($E$16-1)*40+$G44+2,AW$40-2024))*(AW$39&lt;=$E$28)</f>
        <v>0</v>
      </c>
      <c r="AX44" s="508" cm="1">
        <f t="array" ref="AX44">IF(AX$40&gt;2060,0,INDEX(revenueMatrixNew,($E$16-1)*40+$G44+2,AX$40-2024))*(AX$39&lt;=$E$28)</f>
        <v>0</v>
      </c>
      <c r="AY44" s="508" cm="1">
        <f t="array" ref="AY44">IF(AY$40&gt;2060,0,INDEX(revenueMatrixNew,($E$16-1)*40+$G44+2,AY$40-2024))*(AY$39&lt;=$E$28)</f>
        <v>0</v>
      </c>
      <c r="AZ44" s="508" cm="1">
        <f t="array" ref="AZ44">IF(AZ$40&gt;2060,0,INDEX(revenueMatrixNew,($E$16-1)*40+$G44+2,AZ$40-2024))*(AZ$39&lt;=$E$28)</f>
        <v>0</v>
      </c>
      <c r="BB44" s="163"/>
      <c r="BD44" s="472"/>
      <c r="BE44" s="469"/>
      <c r="BF44" s="469"/>
      <c r="BG44" s="469"/>
      <c r="BH44" s="469"/>
      <c r="BI44" s="469"/>
      <c r="BJ44" s="469"/>
      <c r="BK44" s="469"/>
      <c r="BL44" s="476"/>
      <c r="BM44" s="469"/>
      <c r="BN44" s="469"/>
      <c r="BO44" s="469"/>
      <c r="BP44" s="469"/>
      <c r="BQ44" s="469"/>
      <c r="BR44" s="469"/>
    </row>
    <row r="45" spans="1:70" x14ac:dyDescent="0.3">
      <c r="A45" s="495"/>
      <c r="B45" s="6"/>
      <c r="C45" s="493" t="s">
        <v>64</v>
      </c>
      <c r="D45" s="479" t="s">
        <v>7</v>
      </c>
      <c r="E45" s="504">
        <f>E44*E42</f>
        <v>0</v>
      </c>
      <c r="F45" s="163"/>
      <c r="G45" s="473">
        <v>2</v>
      </c>
      <c r="I45" s="507" t="str">
        <f>Benefits!E9</f>
        <v>Energy Arbitrage - PJM Market</v>
      </c>
      <c r="J45" t="s">
        <v>7</v>
      </c>
      <c r="K45" s="483">
        <f t="shared" ref="K45:K63" si="8">NPV($E$62,L45:AZ45)</f>
        <v>0</v>
      </c>
      <c r="L45" s="434">
        <v>0</v>
      </c>
      <c r="M45" s="508" cm="1">
        <f t="array" ref="M45">IF(M$40&gt;2060,0,INDEX(revenueMatrixNew,($E$16-1)*40+$G45+2,M$40-2024))*(M$39&lt;=$E$28)</f>
        <v>0</v>
      </c>
      <c r="N45" s="508" cm="1">
        <f t="array" ref="N45">IF(N$40&gt;2060,0,INDEX(revenueMatrixNew,($E$16-1)*40+$G45+2,N$40-2024))*(N$39&lt;=$E$28)</f>
        <v>0</v>
      </c>
      <c r="O45" s="508" cm="1">
        <f t="array" ref="O45">IF(O$40&gt;2060,0,INDEX(revenueMatrixNew,($E$16-1)*40+$G45+2,O$40-2024))*(O$39&lt;=$E$28)</f>
        <v>0</v>
      </c>
      <c r="P45" s="508" cm="1">
        <f t="array" ref="P45">IF(P$40&gt;2060,0,INDEX(revenueMatrixNew,($E$16-1)*40+$G45+2,P$40-2024))*(P$39&lt;=$E$28)</f>
        <v>0</v>
      </c>
      <c r="Q45" s="508" cm="1">
        <f t="array" ref="Q45">IF(Q$40&gt;2060,0,INDEX(revenueMatrixNew,($E$16-1)*40+$G45+2,Q$40-2024))*(Q$39&lt;=$E$28)</f>
        <v>0</v>
      </c>
      <c r="R45" s="508" cm="1">
        <f t="array" ref="R45">IF(R$40&gt;2060,0,INDEX(revenueMatrixNew,($E$16-1)*40+$G45+2,R$40-2024))*(R$39&lt;=$E$28)</f>
        <v>0</v>
      </c>
      <c r="S45" s="508" cm="1">
        <f t="array" ref="S45">IF(S$40&gt;2060,0,INDEX(revenueMatrixNew,($E$16-1)*40+$G45+2,S$40-2024))*(S$39&lt;=$E$28)</f>
        <v>0</v>
      </c>
      <c r="T45" s="508" cm="1">
        <f t="array" ref="T45">IF(T$40&gt;2060,0,INDEX(revenueMatrixNew,($E$16-1)*40+$G45+2,T$40-2024))*(T$39&lt;=$E$28)</f>
        <v>0</v>
      </c>
      <c r="U45" s="508" cm="1">
        <f t="array" ref="U45">IF(U$40&gt;2060,0,INDEX(revenueMatrixNew,($E$16-1)*40+$G45+2,U$40-2024))*(U$39&lt;=$E$28)</f>
        <v>0</v>
      </c>
      <c r="V45" s="508" cm="1">
        <f t="array" ref="V45">IF(V$40&gt;2060,0,INDEX(revenueMatrixNew,($E$16-1)*40+$G45+2,V$40-2024))*(V$39&lt;=$E$28)</f>
        <v>0</v>
      </c>
      <c r="W45" s="508" cm="1">
        <f t="array" ref="W45">IF(W$40&gt;2060,0,INDEX(revenueMatrixNew,($E$16-1)*40+$G45+2,W$40-2024))*(W$39&lt;=$E$28)</f>
        <v>0</v>
      </c>
      <c r="X45" s="508" cm="1">
        <f t="array" ref="X45">IF(X$40&gt;2060,0,INDEX(revenueMatrixNew,($E$16-1)*40+$G45+2,X$40-2024))*(X$39&lt;=$E$28)</f>
        <v>0</v>
      </c>
      <c r="Y45" s="508" cm="1">
        <f t="array" ref="Y45">IF(Y$40&gt;2060,0,INDEX(revenueMatrixNew,($E$16-1)*40+$G45+2,Y$40-2024))*(Y$39&lt;=$E$28)</f>
        <v>0</v>
      </c>
      <c r="Z45" s="508" cm="1">
        <f t="array" ref="Z45">IF(Z$40&gt;2060,0,INDEX(revenueMatrixNew,($E$16-1)*40+$G45+2,Z$40-2024))*(Z$39&lt;=$E$28)</f>
        <v>0</v>
      </c>
      <c r="AA45" s="508" cm="1">
        <f t="array" ref="AA45">IF(AA$40&gt;2060,0,INDEX(revenueMatrixNew,($E$16-1)*40+$G45+2,AA$40-2024))*(AA$39&lt;=$E$28)</f>
        <v>0</v>
      </c>
      <c r="AB45" s="508" cm="1">
        <f t="array" ref="AB45">IF(AB$40&gt;2060,0,INDEX(revenueMatrixNew,($E$16-1)*40+$G45+2,AB$40-2024))*(AB$39&lt;=$E$28)</f>
        <v>0</v>
      </c>
      <c r="AC45" s="508" cm="1">
        <f t="array" ref="AC45">IF(AC$40&gt;2060,0,INDEX(revenueMatrixNew,($E$16-1)*40+$G45+2,AC$40-2024))*(AC$39&lt;=$E$28)</f>
        <v>0</v>
      </c>
      <c r="AD45" s="508" cm="1">
        <f t="array" ref="AD45">IF(AD$40&gt;2060,0,INDEX(revenueMatrixNew,($E$16-1)*40+$G45+2,AD$40-2024))*(AD$39&lt;=$E$28)</f>
        <v>0</v>
      </c>
      <c r="AE45" s="508" cm="1">
        <f t="array" ref="AE45">IF(AE$40&gt;2060,0,INDEX(revenueMatrixNew,($E$16-1)*40+$G45+2,AE$40-2024))*(AE$39&lt;=$E$28)</f>
        <v>0</v>
      </c>
      <c r="AF45" s="508" cm="1">
        <f t="array" ref="AF45">IF(AF$40&gt;2060,0,INDEX(revenueMatrixNew,($E$16-1)*40+$G45+2,AF$40-2024))*(AF$39&lt;=$E$28)</f>
        <v>0</v>
      </c>
      <c r="AG45" s="508" cm="1">
        <f t="array" ref="AG45">IF(AG$40&gt;2060,0,INDEX(revenueMatrixNew,($E$16-1)*40+$G45+2,AG$40-2024))*(AG$39&lt;=$E$28)</f>
        <v>0</v>
      </c>
      <c r="AH45" s="508" cm="1">
        <f t="array" ref="AH45">IF(AH$40&gt;2060,0,INDEX(revenueMatrixNew,($E$16-1)*40+$G45+2,AH$40-2024))*(AH$39&lt;=$E$28)</f>
        <v>0</v>
      </c>
      <c r="AI45" s="508" cm="1">
        <f t="array" ref="AI45">IF(AI$40&gt;2060,0,INDEX(revenueMatrixNew,($E$16-1)*40+$G45+2,AI$40-2024))*(AI$39&lt;=$E$28)</f>
        <v>0</v>
      </c>
      <c r="AJ45" s="508" cm="1">
        <f t="array" ref="AJ45">IF(AJ$40&gt;2060,0,INDEX(revenueMatrixNew,($E$16-1)*40+$G45+2,AJ$40-2024))*(AJ$39&lt;=$E$28)</f>
        <v>0</v>
      </c>
      <c r="AK45" s="508" cm="1">
        <f t="array" ref="AK45">IF(AK$40&gt;2060,0,INDEX(revenueMatrixNew,($E$16-1)*40+$G45+2,AK$40-2024))*(AK$39&lt;=$E$28)</f>
        <v>0</v>
      </c>
      <c r="AL45" s="508" cm="1">
        <f t="array" ref="AL45">IF(AL$40&gt;2060,0,INDEX(revenueMatrixNew,($E$16-1)*40+$G45+2,AL$40-2024))*(AL$39&lt;=$E$28)</f>
        <v>0</v>
      </c>
      <c r="AM45" s="508" cm="1">
        <f t="array" ref="AM45">IF(AM$40&gt;2060,0,INDEX(revenueMatrixNew,($E$16-1)*40+$G45+2,AM$40-2024))*(AM$39&lt;=$E$28)</f>
        <v>0</v>
      </c>
      <c r="AN45" s="508" cm="1">
        <f t="array" ref="AN45">IF(AN$40&gt;2060,0,INDEX(revenueMatrixNew,($E$16-1)*40+$G45+2,AN$40-2024))*(AN$39&lt;=$E$28)</f>
        <v>0</v>
      </c>
      <c r="AO45" s="508" cm="1">
        <f t="array" ref="AO45">IF(AO$40&gt;2060,0,INDEX(revenueMatrixNew,($E$16-1)*40+$G45+2,AO$40-2024))*(AO$39&lt;=$E$28)</f>
        <v>0</v>
      </c>
      <c r="AP45" s="508" cm="1">
        <f t="array" ref="AP45">IF(AP$40&gt;2060,0,INDEX(revenueMatrixNew,($E$16-1)*40+$G45+2,AP$40-2024))*(AP$39&lt;=$E$28)</f>
        <v>0</v>
      </c>
      <c r="AQ45" s="508" cm="1">
        <f t="array" ref="AQ45">IF(AQ$40&gt;2060,0,INDEX(revenueMatrixNew,($E$16-1)*40+$G45+2,AQ$40-2024))*(AQ$39&lt;=$E$28)</f>
        <v>0</v>
      </c>
      <c r="AR45" s="508" cm="1">
        <f t="array" ref="AR45">IF(AR$40&gt;2060,0,INDEX(revenueMatrixNew,($E$16-1)*40+$G45+2,AR$40-2024))*(AR$39&lt;=$E$28)</f>
        <v>0</v>
      </c>
      <c r="AS45" s="508" cm="1">
        <f t="array" ref="AS45">IF(AS$40&gt;2060,0,INDEX(revenueMatrixNew,($E$16-1)*40+$G45+2,AS$40-2024))*(AS$39&lt;=$E$28)</f>
        <v>0</v>
      </c>
      <c r="AT45" s="508" cm="1">
        <f t="array" ref="AT45">IF(AT$40&gt;2060,0,INDEX(revenueMatrixNew,($E$16-1)*40+$G45+2,AT$40-2024))*(AT$39&lt;=$E$28)</f>
        <v>0</v>
      </c>
      <c r="AU45" s="508" cm="1">
        <f t="array" ref="AU45">IF(AU$40&gt;2060,0,INDEX(revenueMatrixNew,($E$16-1)*40+$G45+2,AU$40-2024))*(AU$39&lt;=$E$28)</f>
        <v>0</v>
      </c>
      <c r="AV45" s="508" cm="1">
        <f t="array" ref="AV45">IF(AV$40&gt;2060,0,INDEX(revenueMatrixNew,($E$16-1)*40+$G45+2,AV$40-2024))*(AV$39&lt;=$E$28)</f>
        <v>0</v>
      </c>
      <c r="AW45" s="508" cm="1">
        <f t="array" ref="AW45">IF(AW$40&gt;2060,0,INDEX(revenueMatrixNew,($E$16-1)*40+$G45+2,AW$40-2024))*(AW$39&lt;=$E$28)</f>
        <v>0</v>
      </c>
      <c r="AX45" s="508" cm="1">
        <f t="array" ref="AX45">IF(AX$40&gt;2060,0,INDEX(revenueMatrixNew,($E$16-1)*40+$G45+2,AX$40-2024))*(AX$39&lt;=$E$28)</f>
        <v>0</v>
      </c>
      <c r="AY45" s="508" cm="1">
        <f t="array" ref="AY45">IF(AY$40&gt;2060,0,INDEX(revenueMatrixNew,($E$16-1)*40+$G45+2,AY$40-2024))*(AY$39&lt;=$E$28)</f>
        <v>0</v>
      </c>
      <c r="AZ45" s="508" cm="1">
        <f t="array" ref="AZ45">IF(AZ$40&gt;2060,0,INDEX(revenueMatrixNew,($E$16-1)*40+$G45+2,AZ$40-2024))*(AZ$39&lt;=$E$28)</f>
        <v>0</v>
      </c>
      <c r="BB45" s="163"/>
      <c r="BD45" s="472"/>
      <c r="BE45" s="469"/>
      <c r="BF45" s="469"/>
      <c r="BG45" s="469"/>
      <c r="BH45" s="469"/>
      <c r="BI45" s="469"/>
      <c r="BJ45" s="469"/>
      <c r="BK45" s="469"/>
      <c r="BL45" s="476"/>
      <c r="BM45" s="469"/>
      <c r="BN45" s="469"/>
      <c r="BO45" s="469"/>
      <c r="BP45" s="469"/>
      <c r="BQ45" s="469"/>
      <c r="BR45" s="469"/>
    </row>
    <row r="46" spans="1:70" x14ac:dyDescent="0.3">
      <c r="A46" s="495"/>
      <c r="C46" s="509" t="s">
        <v>66</v>
      </c>
      <c r="D46" s="479" t="s">
        <v>7</v>
      </c>
      <c r="E46" s="504">
        <f>E42+E43+E45+'Fin Inputs'!M45</f>
        <v>14041</v>
      </c>
      <c r="F46" s="163"/>
      <c r="G46" s="473">
        <v>3</v>
      </c>
      <c r="I46" s="507" t="str">
        <f>Benefits!E10</f>
        <v>Spin- PJM Market</v>
      </c>
      <c r="J46" t="s">
        <v>7</v>
      </c>
      <c r="K46" s="483">
        <f t="shared" si="8"/>
        <v>0</v>
      </c>
      <c r="L46" s="434">
        <v>0</v>
      </c>
      <c r="M46" s="508" cm="1">
        <f t="array" ref="M46">IF(M$40&gt;2060,0,INDEX(revenueMatrixNew,($E$16-1)*40+$G46+2,M$40-2024))*(M$39&lt;=$E$28)</f>
        <v>0</v>
      </c>
      <c r="N46" s="508" cm="1">
        <f t="array" ref="N46">IF(N$40&gt;2060,0,INDEX(revenueMatrixNew,($E$16-1)*40+$G46+2,N$40-2024))*(N$39&lt;=$E$28)</f>
        <v>0</v>
      </c>
      <c r="O46" s="508" cm="1">
        <f t="array" ref="O46">IF(O$40&gt;2060,0,INDEX(revenueMatrixNew,($E$16-1)*40+$G46+2,O$40-2024))*(O$39&lt;=$E$28)</f>
        <v>0</v>
      </c>
      <c r="P46" s="508" cm="1">
        <f t="array" ref="P46">IF(P$40&gt;2060,0,INDEX(revenueMatrixNew,($E$16-1)*40+$G46+2,P$40-2024))*(P$39&lt;=$E$28)</f>
        <v>0</v>
      </c>
      <c r="Q46" s="508" cm="1">
        <f t="array" ref="Q46">IF(Q$40&gt;2060,0,INDEX(revenueMatrixNew,($E$16-1)*40+$G46+2,Q$40-2024))*(Q$39&lt;=$E$28)</f>
        <v>0</v>
      </c>
      <c r="R46" s="508" cm="1">
        <f t="array" ref="R46">IF(R$40&gt;2060,0,INDEX(revenueMatrixNew,($E$16-1)*40+$G46+2,R$40-2024))*(R$39&lt;=$E$28)</f>
        <v>0</v>
      </c>
      <c r="S46" s="508" cm="1">
        <f t="array" ref="S46">IF(S$40&gt;2060,0,INDEX(revenueMatrixNew,($E$16-1)*40+$G46+2,S$40-2024))*(S$39&lt;=$E$28)</f>
        <v>0</v>
      </c>
      <c r="T46" s="508" cm="1">
        <f t="array" ref="T46">IF(T$40&gt;2060,0,INDEX(revenueMatrixNew,($E$16-1)*40+$G46+2,T$40-2024))*(T$39&lt;=$E$28)</f>
        <v>0</v>
      </c>
      <c r="U46" s="508" cm="1">
        <f t="array" ref="U46">IF(U$40&gt;2060,0,INDEX(revenueMatrixNew,($E$16-1)*40+$G46+2,U$40-2024))*(U$39&lt;=$E$28)</f>
        <v>0</v>
      </c>
      <c r="V46" s="508" cm="1">
        <f t="array" ref="V46">IF(V$40&gt;2060,0,INDEX(revenueMatrixNew,($E$16-1)*40+$G46+2,V$40-2024))*(V$39&lt;=$E$28)</f>
        <v>0</v>
      </c>
      <c r="W46" s="508" cm="1">
        <f t="array" ref="W46">IF(W$40&gt;2060,0,INDEX(revenueMatrixNew,($E$16-1)*40+$G46+2,W$40-2024))*(W$39&lt;=$E$28)</f>
        <v>0</v>
      </c>
      <c r="X46" s="508" cm="1">
        <f t="array" ref="X46">IF(X$40&gt;2060,0,INDEX(revenueMatrixNew,($E$16-1)*40+$G46+2,X$40-2024))*(X$39&lt;=$E$28)</f>
        <v>0</v>
      </c>
      <c r="Y46" s="508" cm="1">
        <f t="array" ref="Y46">IF(Y$40&gt;2060,0,INDEX(revenueMatrixNew,($E$16-1)*40+$G46+2,Y$40-2024))*(Y$39&lt;=$E$28)</f>
        <v>0</v>
      </c>
      <c r="Z46" s="508" cm="1">
        <f t="array" ref="Z46">IF(Z$40&gt;2060,0,INDEX(revenueMatrixNew,($E$16-1)*40+$G46+2,Z$40-2024))*(Z$39&lt;=$E$28)</f>
        <v>0</v>
      </c>
      <c r="AA46" s="508" cm="1">
        <f t="array" ref="AA46">IF(AA$40&gt;2060,0,INDEX(revenueMatrixNew,($E$16-1)*40+$G46+2,AA$40-2024))*(AA$39&lt;=$E$28)</f>
        <v>0</v>
      </c>
      <c r="AB46" s="508" cm="1">
        <f t="array" ref="AB46">IF(AB$40&gt;2060,0,INDEX(revenueMatrixNew,($E$16-1)*40+$G46+2,AB$40-2024))*(AB$39&lt;=$E$28)</f>
        <v>0</v>
      </c>
      <c r="AC46" s="508" cm="1">
        <f t="array" ref="AC46">IF(AC$40&gt;2060,0,INDEX(revenueMatrixNew,($E$16-1)*40+$G46+2,AC$40-2024))*(AC$39&lt;=$E$28)</f>
        <v>0</v>
      </c>
      <c r="AD46" s="508" cm="1">
        <f t="array" ref="AD46">IF(AD$40&gt;2060,0,INDEX(revenueMatrixNew,($E$16-1)*40+$G46+2,AD$40-2024))*(AD$39&lt;=$E$28)</f>
        <v>0</v>
      </c>
      <c r="AE46" s="508" cm="1">
        <f t="array" ref="AE46">IF(AE$40&gt;2060,0,INDEX(revenueMatrixNew,($E$16-1)*40+$G46+2,AE$40-2024))*(AE$39&lt;=$E$28)</f>
        <v>0</v>
      </c>
      <c r="AF46" s="508" cm="1">
        <f t="array" ref="AF46">IF(AF$40&gt;2060,0,INDEX(revenueMatrixNew,($E$16-1)*40+$G46+2,AF$40-2024))*(AF$39&lt;=$E$28)</f>
        <v>0</v>
      </c>
      <c r="AG46" s="508" cm="1">
        <f t="array" ref="AG46">IF(AG$40&gt;2060,0,INDEX(revenueMatrixNew,($E$16-1)*40+$G46+2,AG$40-2024))*(AG$39&lt;=$E$28)</f>
        <v>0</v>
      </c>
      <c r="AH46" s="508" cm="1">
        <f t="array" ref="AH46">IF(AH$40&gt;2060,0,INDEX(revenueMatrixNew,($E$16-1)*40+$G46+2,AH$40-2024))*(AH$39&lt;=$E$28)</f>
        <v>0</v>
      </c>
      <c r="AI46" s="508" cm="1">
        <f t="array" ref="AI46">IF(AI$40&gt;2060,0,INDEX(revenueMatrixNew,($E$16-1)*40+$G46+2,AI$40-2024))*(AI$39&lt;=$E$28)</f>
        <v>0</v>
      </c>
      <c r="AJ46" s="508" cm="1">
        <f t="array" ref="AJ46">IF(AJ$40&gt;2060,0,INDEX(revenueMatrixNew,($E$16-1)*40+$G46+2,AJ$40-2024))*(AJ$39&lt;=$E$28)</f>
        <v>0</v>
      </c>
      <c r="AK46" s="508" cm="1">
        <f t="array" ref="AK46">IF(AK$40&gt;2060,0,INDEX(revenueMatrixNew,($E$16-1)*40+$G46+2,AK$40-2024))*(AK$39&lt;=$E$28)</f>
        <v>0</v>
      </c>
      <c r="AL46" s="508" cm="1">
        <f t="array" ref="AL46">IF(AL$40&gt;2060,0,INDEX(revenueMatrixNew,($E$16-1)*40+$G46+2,AL$40-2024))*(AL$39&lt;=$E$28)</f>
        <v>0</v>
      </c>
      <c r="AM46" s="508" cm="1">
        <f t="array" ref="AM46">IF(AM$40&gt;2060,0,INDEX(revenueMatrixNew,($E$16-1)*40+$G46+2,AM$40-2024))*(AM$39&lt;=$E$28)</f>
        <v>0</v>
      </c>
      <c r="AN46" s="508" cm="1">
        <f t="array" ref="AN46">IF(AN$40&gt;2060,0,INDEX(revenueMatrixNew,($E$16-1)*40+$G46+2,AN$40-2024))*(AN$39&lt;=$E$28)</f>
        <v>0</v>
      </c>
      <c r="AO46" s="508" cm="1">
        <f t="array" ref="AO46">IF(AO$40&gt;2060,0,INDEX(revenueMatrixNew,($E$16-1)*40+$G46+2,AO$40-2024))*(AO$39&lt;=$E$28)</f>
        <v>0</v>
      </c>
      <c r="AP46" s="508" cm="1">
        <f t="array" ref="AP46">IF(AP$40&gt;2060,0,INDEX(revenueMatrixNew,($E$16-1)*40+$G46+2,AP$40-2024))*(AP$39&lt;=$E$28)</f>
        <v>0</v>
      </c>
      <c r="AQ46" s="508" cm="1">
        <f t="array" ref="AQ46">IF(AQ$40&gt;2060,0,INDEX(revenueMatrixNew,($E$16-1)*40+$G46+2,AQ$40-2024))*(AQ$39&lt;=$E$28)</f>
        <v>0</v>
      </c>
      <c r="AR46" s="508" cm="1">
        <f t="array" ref="AR46">IF(AR$40&gt;2060,0,INDEX(revenueMatrixNew,($E$16-1)*40+$G46+2,AR$40-2024))*(AR$39&lt;=$E$28)</f>
        <v>0</v>
      </c>
      <c r="AS46" s="508" cm="1">
        <f t="array" ref="AS46">IF(AS$40&gt;2060,0,INDEX(revenueMatrixNew,($E$16-1)*40+$G46+2,AS$40-2024))*(AS$39&lt;=$E$28)</f>
        <v>0</v>
      </c>
      <c r="AT46" s="508" cm="1">
        <f t="array" ref="AT46">IF(AT$40&gt;2060,0,INDEX(revenueMatrixNew,($E$16-1)*40+$G46+2,AT$40-2024))*(AT$39&lt;=$E$28)</f>
        <v>0</v>
      </c>
      <c r="AU46" s="508" cm="1">
        <f t="array" ref="AU46">IF(AU$40&gt;2060,0,INDEX(revenueMatrixNew,($E$16-1)*40+$G46+2,AU$40-2024))*(AU$39&lt;=$E$28)</f>
        <v>0</v>
      </c>
      <c r="AV46" s="508" cm="1">
        <f t="array" ref="AV46">IF(AV$40&gt;2060,0,INDEX(revenueMatrixNew,($E$16-1)*40+$G46+2,AV$40-2024))*(AV$39&lt;=$E$28)</f>
        <v>0</v>
      </c>
      <c r="AW46" s="508" cm="1">
        <f t="array" ref="AW46">IF(AW$40&gt;2060,0,INDEX(revenueMatrixNew,($E$16-1)*40+$G46+2,AW$40-2024))*(AW$39&lt;=$E$28)</f>
        <v>0</v>
      </c>
      <c r="AX46" s="508" cm="1">
        <f t="array" ref="AX46">IF(AX$40&gt;2060,0,INDEX(revenueMatrixNew,($E$16-1)*40+$G46+2,AX$40-2024))*(AX$39&lt;=$E$28)</f>
        <v>0</v>
      </c>
      <c r="AY46" s="508" cm="1">
        <f t="array" ref="AY46">IF(AY$40&gt;2060,0,INDEX(revenueMatrixNew,($E$16-1)*40+$G46+2,AY$40-2024))*(AY$39&lt;=$E$28)</f>
        <v>0</v>
      </c>
      <c r="AZ46" s="508" cm="1">
        <f t="array" ref="AZ46">IF(AZ$40&gt;2060,0,INDEX(revenueMatrixNew,($E$16-1)*40+$G46+2,AZ$40-2024))*(AZ$39&lt;=$E$28)</f>
        <v>0</v>
      </c>
      <c r="BB46" s="163"/>
      <c r="BD46" s="472"/>
      <c r="BE46" s="469"/>
      <c r="BF46" s="469"/>
      <c r="BG46" s="469"/>
      <c r="BH46" s="469"/>
      <c r="BI46" s="469"/>
      <c r="BJ46" s="469"/>
      <c r="BK46" s="469"/>
      <c r="BL46" s="476"/>
      <c r="BM46" s="469"/>
      <c r="BN46" s="469"/>
      <c r="BO46" s="469"/>
      <c r="BP46" s="469"/>
      <c r="BQ46" s="469"/>
      <c r="BR46" s="469"/>
    </row>
    <row r="47" spans="1:70" x14ac:dyDescent="0.3">
      <c r="A47" s="495"/>
      <c r="C47" s="490" t="s">
        <v>68</v>
      </c>
      <c r="E47" s="510"/>
      <c r="F47" s="163"/>
      <c r="G47" s="473">
        <v>4</v>
      </c>
      <c r="I47" s="507" t="str">
        <f>Benefits!E11</f>
        <v>Non-Spin - PJM Market</v>
      </c>
      <c r="J47" t="s">
        <v>7</v>
      </c>
      <c r="K47" s="483">
        <f t="shared" si="8"/>
        <v>0</v>
      </c>
      <c r="L47" s="434">
        <v>0</v>
      </c>
      <c r="M47" s="508" cm="1">
        <f t="array" ref="M47">IF(M$40&gt;2060,0,INDEX(revenueMatrixNew,($E$16-1)*40+$G47+2,M$40-2024))*(M$39&lt;=$E$28)</f>
        <v>0</v>
      </c>
      <c r="N47" s="508" cm="1">
        <f t="array" ref="N47">IF(N$40&gt;2060,0,INDEX(revenueMatrixNew,($E$16-1)*40+$G47+2,N$40-2024))*(N$39&lt;=$E$28)</f>
        <v>0</v>
      </c>
      <c r="O47" s="508" cm="1">
        <f t="array" ref="O47">IF(O$40&gt;2060,0,INDEX(revenueMatrixNew,($E$16-1)*40+$G47+2,O$40-2024))*(O$39&lt;=$E$28)</f>
        <v>0</v>
      </c>
      <c r="P47" s="508" cm="1">
        <f t="array" ref="P47">IF(P$40&gt;2060,0,INDEX(revenueMatrixNew,($E$16-1)*40+$G47+2,P$40-2024))*(P$39&lt;=$E$28)</f>
        <v>0</v>
      </c>
      <c r="Q47" s="508" cm="1">
        <f t="array" ref="Q47">IF(Q$40&gt;2060,0,INDEX(revenueMatrixNew,($E$16-1)*40+$G47+2,Q$40-2024))*(Q$39&lt;=$E$28)</f>
        <v>0</v>
      </c>
      <c r="R47" s="508" cm="1">
        <f t="array" ref="R47">IF(R$40&gt;2060,0,INDEX(revenueMatrixNew,($E$16-1)*40+$G47+2,R$40-2024))*(R$39&lt;=$E$28)</f>
        <v>0</v>
      </c>
      <c r="S47" s="508" cm="1">
        <f t="array" ref="S47">IF(S$40&gt;2060,0,INDEX(revenueMatrixNew,($E$16-1)*40+$G47+2,S$40-2024))*(S$39&lt;=$E$28)</f>
        <v>0</v>
      </c>
      <c r="T47" s="508" cm="1">
        <f t="array" ref="T47">IF(T$40&gt;2060,0,INDEX(revenueMatrixNew,($E$16-1)*40+$G47+2,T$40-2024))*(T$39&lt;=$E$28)</f>
        <v>0</v>
      </c>
      <c r="U47" s="508" cm="1">
        <f t="array" ref="U47">IF(U$40&gt;2060,0,INDEX(revenueMatrixNew,($E$16-1)*40+$G47+2,U$40-2024))*(U$39&lt;=$E$28)</f>
        <v>0</v>
      </c>
      <c r="V47" s="508" cm="1">
        <f t="array" ref="V47">IF(V$40&gt;2060,0,INDEX(revenueMatrixNew,($E$16-1)*40+$G47+2,V$40-2024))*(V$39&lt;=$E$28)</f>
        <v>0</v>
      </c>
      <c r="W47" s="508" cm="1">
        <f t="array" ref="W47">IF(W$40&gt;2060,0,INDEX(revenueMatrixNew,($E$16-1)*40+$G47+2,W$40-2024))*(W$39&lt;=$E$28)</f>
        <v>0</v>
      </c>
      <c r="X47" s="508" cm="1">
        <f t="array" ref="X47">IF(X$40&gt;2060,0,INDEX(revenueMatrixNew,($E$16-1)*40+$G47+2,X$40-2024))*(X$39&lt;=$E$28)</f>
        <v>0</v>
      </c>
      <c r="Y47" s="508" cm="1">
        <f t="array" ref="Y47">IF(Y$40&gt;2060,0,INDEX(revenueMatrixNew,($E$16-1)*40+$G47+2,Y$40-2024))*(Y$39&lt;=$E$28)</f>
        <v>0</v>
      </c>
      <c r="Z47" s="508" cm="1">
        <f t="array" ref="Z47">IF(Z$40&gt;2060,0,INDEX(revenueMatrixNew,($E$16-1)*40+$G47+2,Z$40-2024))*(Z$39&lt;=$E$28)</f>
        <v>0</v>
      </c>
      <c r="AA47" s="508" cm="1">
        <f t="array" ref="AA47">IF(AA$40&gt;2060,0,INDEX(revenueMatrixNew,($E$16-1)*40+$G47+2,AA$40-2024))*(AA$39&lt;=$E$28)</f>
        <v>0</v>
      </c>
      <c r="AB47" s="508" cm="1">
        <f t="array" ref="AB47">IF(AB$40&gt;2060,0,INDEX(revenueMatrixNew,($E$16-1)*40+$G47+2,AB$40-2024))*(AB$39&lt;=$E$28)</f>
        <v>0</v>
      </c>
      <c r="AC47" s="508" cm="1">
        <f t="array" ref="AC47">IF(AC$40&gt;2060,0,INDEX(revenueMatrixNew,($E$16-1)*40+$G47+2,AC$40-2024))*(AC$39&lt;=$E$28)</f>
        <v>0</v>
      </c>
      <c r="AD47" s="508" cm="1">
        <f t="array" ref="AD47">IF(AD$40&gt;2060,0,INDEX(revenueMatrixNew,($E$16-1)*40+$G47+2,AD$40-2024))*(AD$39&lt;=$E$28)</f>
        <v>0</v>
      </c>
      <c r="AE47" s="508" cm="1">
        <f t="array" ref="AE47">IF(AE$40&gt;2060,0,INDEX(revenueMatrixNew,($E$16-1)*40+$G47+2,AE$40-2024))*(AE$39&lt;=$E$28)</f>
        <v>0</v>
      </c>
      <c r="AF47" s="508" cm="1">
        <f t="array" ref="AF47">IF(AF$40&gt;2060,0,INDEX(revenueMatrixNew,($E$16-1)*40+$G47+2,AF$40-2024))*(AF$39&lt;=$E$28)</f>
        <v>0</v>
      </c>
      <c r="AG47" s="508" cm="1">
        <f t="array" ref="AG47">IF(AG$40&gt;2060,0,INDEX(revenueMatrixNew,($E$16-1)*40+$G47+2,AG$40-2024))*(AG$39&lt;=$E$28)</f>
        <v>0</v>
      </c>
      <c r="AH47" s="508" cm="1">
        <f t="array" ref="AH47">IF(AH$40&gt;2060,0,INDEX(revenueMatrixNew,($E$16-1)*40+$G47+2,AH$40-2024))*(AH$39&lt;=$E$28)</f>
        <v>0</v>
      </c>
      <c r="AI47" s="508" cm="1">
        <f t="array" ref="AI47">IF(AI$40&gt;2060,0,INDEX(revenueMatrixNew,($E$16-1)*40+$G47+2,AI$40-2024))*(AI$39&lt;=$E$28)</f>
        <v>0</v>
      </c>
      <c r="AJ47" s="508" cm="1">
        <f t="array" ref="AJ47">IF(AJ$40&gt;2060,0,INDEX(revenueMatrixNew,($E$16-1)*40+$G47+2,AJ$40-2024))*(AJ$39&lt;=$E$28)</f>
        <v>0</v>
      </c>
      <c r="AK47" s="508" cm="1">
        <f t="array" ref="AK47">IF(AK$40&gt;2060,0,INDEX(revenueMatrixNew,($E$16-1)*40+$G47+2,AK$40-2024))*(AK$39&lt;=$E$28)</f>
        <v>0</v>
      </c>
      <c r="AL47" s="508" cm="1">
        <f t="array" ref="AL47">IF(AL$40&gt;2060,0,INDEX(revenueMatrixNew,($E$16-1)*40+$G47+2,AL$40-2024))*(AL$39&lt;=$E$28)</f>
        <v>0</v>
      </c>
      <c r="AM47" s="508" cm="1">
        <f t="array" ref="AM47">IF(AM$40&gt;2060,0,INDEX(revenueMatrixNew,($E$16-1)*40+$G47+2,AM$40-2024))*(AM$39&lt;=$E$28)</f>
        <v>0</v>
      </c>
      <c r="AN47" s="508" cm="1">
        <f t="array" ref="AN47">IF(AN$40&gt;2060,0,INDEX(revenueMatrixNew,($E$16-1)*40+$G47+2,AN$40-2024))*(AN$39&lt;=$E$28)</f>
        <v>0</v>
      </c>
      <c r="AO47" s="508" cm="1">
        <f t="array" ref="AO47">IF(AO$40&gt;2060,0,INDEX(revenueMatrixNew,($E$16-1)*40+$G47+2,AO$40-2024))*(AO$39&lt;=$E$28)</f>
        <v>0</v>
      </c>
      <c r="AP47" s="508" cm="1">
        <f t="array" ref="AP47">IF(AP$40&gt;2060,0,INDEX(revenueMatrixNew,($E$16-1)*40+$G47+2,AP$40-2024))*(AP$39&lt;=$E$28)</f>
        <v>0</v>
      </c>
      <c r="AQ47" s="508" cm="1">
        <f t="array" ref="AQ47">IF(AQ$40&gt;2060,0,INDEX(revenueMatrixNew,($E$16-1)*40+$G47+2,AQ$40-2024))*(AQ$39&lt;=$E$28)</f>
        <v>0</v>
      </c>
      <c r="AR47" s="508" cm="1">
        <f t="array" ref="AR47">IF(AR$40&gt;2060,0,INDEX(revenueMatrixNew,($E$16-1)*40+$G47+2,AR$40-2024))*(AR$39&lt;=$E$28)</f>
        <v>0</v>
      </c>
      <c r="AS47" s="508" cm="1">
        <f t="array" ref="AS47">IF(AS$40&gt;2060,0,INDEX(revenueMatrixNew,($E$16-1)*40+$G47+2,AS$40-2024))*(AS$39&lt;=$E$28)</f>
        <v>0</v>
      </c>
      <c r="AT47" s="508" cm="1">
        <f t="array" ref="AT47">IF(AT$40&gt;2060,0,INDEX(revenueMatrixNew,($E$16-1)*40+$G47+2,AT$40-2024))*(AT$39&lt;=$E$28)</f>
        <v>0</v>
      </c>
      <c r="AU47" s="508" cm="1">
        <f t="array" ref="AU47">IF(AU$40&gt;2060,0,INDEX(revenueMatrixNew,($E$16-1)*40+$G47+2,AU$40-2024))*(AU$39&lt;=$E$28)</f>
        <v>0</v>
      </c>
      <c r="AV47" s="508" cm="1">
        <f t="array" ref="AV47">IF(AV$40&gt;2060,0,INDEX(revenueMatrixNew,($E$16-1)*40+$G47+2,AV$40-2024))*(AV$39&lt;=$E$28)</f>
        <v>0</v>
      </c>
      <c r="AW47" s="508" cm="1">
        <f t="array" ref="AW47">IF(AW$40&gt;2060,0,INDEX(revenueMatrixNew,($E$16-1)*40+$G47+2,AW$40-2024))*(AW$39&lt;=$E$28)</f>
        <v>0</v>
      </c>
      <c r="AX47" s="508" cm="1">
        <f t="array" ref="AX47">IF(AX$40&gt;2060,0,INDEX(revenueMatrixNew,($E$16-1)*40+$G47+2,AX$40-2024))*(AX$39&lt;=$E$28)</f>
        <v>0</v>
      </c>
      <c r="AY47" s="508" cm="1">
        <f t="array" ref="AY47">IF(AY$40&gt;2060,0,INDEX(revenueMatrixNew,($E$16-1)*40+$G47+2,AY$40-2024))*(AY$39&lt;=$E$28)</f>
        <v>0</v>
      </c>
      <c r="AZ47" s="508" cm="1">
        <f t="array" ref="AZ47">IF(AZ$40&gt;2060,0,INDEX(revenueMatrixNew,($E$16-1)*40+$G47+2,AZ$40-2024))*(AZ$39&lt;=$E$28)</f>
        <v>0</v>
      </c>
      <c r="BB47" s="163"/>
      <c r="BD47" s="472"/>
      <c r="BE47" s="469"/>
      <c r="BF47" s="469"/>
      <c r="BG47" s="469"/>
      <c r="BH47" s="469"/>
      <c r="BI47" s="469"/>
      <c r="BJ47" s="469"/>
      <c r="BK47" s="469"/>
      <c r="BL47" s="476"/>
      <c r="BM47" s="469"/>
      <c r="BN47" s="469"/>
      <c r="BO47" s="469"/>
      <c r="BP47" s="469"/>
      <c r="BQ47" s="469"/>
      <c r="BR47" s="469"/>
    </row>
    <row r="48" spans="1:70" x14ac:dyDescent="0.3">
      <c r="A48" s="495"/>
      <c r="B48" s="6">
        <v>35</v>
      </c>
      <c r="C48" s="493" t="s">
        <v>72</v>
      </c>
      <c r="D48" s="479" t="s">
        <v>7</v>
      </c>
      <c r="E48" s="504">
        <f>INDEX(InputsMatrix,$E$16,$B48)</f>
        <v>385</v>
      </c>
      <c r="F48" s="163"/>
      <c r="G48" s="473">
        <v>5</v>
      </c>
      <c r="I48" s="507" t="str">
        <f>Benefits!E12</f>
        <v>Regulation - PJM Market</v>
      </c>
      <c r="J48" t="s">
        <v>7</v>
      </c>
      <c r="K48" s="483">
        <f t="shared" si="8"/>
        <v>0</v>
      </c>
      <c r="L48" s="434">
        <v>0</v>
      </c>
      <c r="M48" s="508" cm="1">
        <f t="array" ref="M48">IF(M$40&gt;2060,0,INDEX(revenueMatrixNew,($E$16-1)*40+$G48+2,M$40-2024))*(M$39&lt;=$E$28)</f>
        <v>0</v>
      </c>
      <c r="N48" s="508" cm="1">
        <f t="array" ref="N48">IF(N$40&gt;2060,0,INDEX(revenueMatrixNew,($E$16-1)*40+$G48+2,N$40-2024))*(N$39&lt;=$E$28)</f>
        <v>0</v>
      </c>
      <c r="O48" s="508" cm="1">
        <f t="array" ref="O48">IF(O$40&gt;2060,0,INDEX(revenueMatrixNew,($E$16-1)*40+$G48+2,O$40-2024))*(O$39&lt;=$E$28)</f>
        <v>0</v>
      </c>
      <c r="P48" s="508" cm="1">
        <f t="array" ref="P48">IF(P$40&gt;2060,0,INDEX(revenueMatrixNew,($E$16-1)*40+$G48+2,P$40-2024))*(P$39&lt;=$E$28)</f>
        <v>0</v>
      </c>
      <c r="Q48" s="508" cm="1">
        <f t="array" ref="Q48">IF(Q$40&gt;2060,0,INDEX(revenueMatrixNew,($E$16-1)*40+$G48+2,Q$40-2024))*(Q$39&lt;=$E$28)</f>
        <v>0</v>
      </c>
      <c r="R48" s="508" cm="1">
        <f t="array" ref="R48">IF(R$40&gt;2060,0,INDEX(revenueMatrixNew,($E$16-1)*40+$G48+2,R$40-2024))*(R$39&lt;=$E$28)</f>
        <v>0</v>
      </c>
      <c r="S48" s="508" cm="1">
        <f t="array" ref="S48">IF(S$40&gt;2060,0,INDEX(revenueMatrixNew,($E$16-1)*40+$G48+2,S$40-2024))*(S$39&lt;=$E$28)</f>
        <v>0</v>
      </c>
      <c r="T48" s="508" cm="1">
        <f t="array" ref="T48">IF(T$40&gt;2060,0,INDEX(revenueMatrixNew,($E$16-1)*40+$G48+2,T$40-2024))*(T$39&lt;=$E$28)</f>
        <v>0</v>
      </c>
      <c r="U48" s="508" cm="1">
        <f t="array" ref="U48">IF(U$40&gt;2060,0,INDEX(revenueMatrixNew,($E$16-1)*40+$G48+2,U$40-2024))*(U$39&lt;=$E$28)</f>
        <v>0</v>
      </c>
      <c r="V48" s="508" cm="1">
        <f t="array" ref="V48">IF(V$40&gt;2060,0,INDEX(revenueMatrixNew,($E$16-1)*40+$G48+2,V$40-2024))*(V$39&lt;=$E$28)</f>
        <v>0</v>
      </c>
      <c r="W48" s="508" cm="1">
        <f t="array" ref="W48">IF(W$40&gt;2060,0,INDEX(revenueMatrixNew,($E$16-1)*40+$G48+2,W$40-2024))*(W$39&lt;=$E$28)</f>
        <v>0</v>
      </c>
      <c r="X48" s="508" cm="1">
        <f t="array" ref="X48">IF(X$40&gt;2060,0,INDEX(revenueMatrixNew,($E$16-1)*40+$G48+2,X$40-2024))*(X$39&lt;=$E$28)</f>
        <v>0</v>
      </c>
      <c r="Y48" s="508" cm="1">
        <f t="array" ref="Y48">IF(Y$40&gt;2060,0,INDEX(revenueMatrixNew,($E$16-1)*40+$G48+2,Y$40-2024))*(Y$39&lt;=$E$28)</f>
        <v>0</v>
      </c>
      <c r="Z48" s="508" cm="1">
        <f t="array" ref="Z48">IF(Z$40&gt;2060,0,INDEX(revenueMatrixNew,($E$16-1)*40+$G48+2,Z$40-2024))*(Z$39&lt;=$E$28)</f>
        <v>0</v>
      </c>
      <c r="AA48" s="508" cm="1">
        <f t="array" ref="AA48">IF(AA$40&gt;2060,0,INDEX(revenueMatrixNew,($E$16-1)*40+$G48+2,AA$40-2024))*(AA$39&lt;=$E$28)</f>
        <v>0</v>
      </c>
      <c r="AB48" s="508" cm="1">
        <f t="array" ref="AB48">IF(AB$40&gt;2060,0,INDEX(revenueMatrixNew,($E$16-1)*40+$G48+2,AB$40-2024))*(AB$39&lt;=$E$28)</f>
        <v>0</v>
      </c>
      <c r="AC48" s="508" cm="1">
        <f t="array" ref="AC48">IF(AC$40&gt;2060,0,INDEX(revenueMatrixNew,($E$16-1)*40+$G48+2,AC$40-2024))*(AC$39&lt;=$E$28)</f>
        <v>0</v>
      </c>
      <c r="AD48" s="508" cm="1">
        <f t="array" ref="AD48">IF(AD$40&gt;2060,0,INDEX(revenueMatrixNew,($E$16-1)*40+$G48+2,AD$40-2024))*(AD$39&lt;=$E$28)</f>
        <v>0</v>
      </c>
      <c r="AE48" s="508" cm="1">
        <f t="array" ref="AE48">IF(AE$40&gt;2060,0,INDEX(revenueMatrixNew,($E$16-1)*40+$G48+2,AE$40-2024))*(AE$39&lt;=$E$28)</f>
        <v>0</v>
      </c>
      <c r="AF48" s="508" cm="1">
        <f t="array" ref="AF48">IF(AF$40&gt;2060,0,INDEX(revenueMatrixNew,($E$16-1)*40+$G48+2,AF$40-2024))*(AF$39&lt;=$E$28)</f>
        <v>0</v>
      </c>
      <c r="AG48" s="508" cm="1">
        <f t="array" ref="AG48">IF(AG$40&gt;2060,0,INDEX(revenueMatrixNew,($E$16-1)*40+$G48+2,AG$40-2024))*(AG$39&lt;=$E$28)</f>
        <v>0</v>
      </c>
      <c r="AH48" s="508" cm="1">
        <f t="array" ref="AH48">IF(AH$40&gt;2060,0,INDEX(revenueMatrixNew,($E$16-1)*40+$G48+2,AH$40-2024))*(AH$39&lt;=$E$28)</f>
        <v>0</v>
      </c>
      <c r="AI48" s="508" cm="1">
        <f t="array" ref="AI48">IF(AI$40&gt;2060,0,INDEX(revenueMatrixNew,($E$16-1)*40+$G48+2,AI$40-2024))*(AI$39&lt;=$E$28)</f>
        <v>0</v>
      </c>
      <c r="AJ48" s="508" cm="1">
        <f t="array" ref="AJ48">IF(AJ$40&gt;2060,0,INDEX(revenueMatrixNew,($E$16-1)*40+$G48+2,AJ$40-2024))*(AJ$39&lt;=$E$28)</f>
        <v>0</v>
      </c>
      <c r="AK48" s="508" cm="1">
        <f t="array" ref="AK48">IF(AK$40&gt;2060,0,INDEX(revenueMatrixNew,($E$16-1)*40+$G48+2,AK$40-2024))*(AK$39&lt;=$E$28)</f>
        <v>0</v>
      </c>
      <c r="AL48" s="508" cm="1">
        <f t="array" ref="AL48">IF(AL$40&gt;2060,0,INDEX(revenueMatrixNew,($E$16-1)*40+$G48+2,AL$40-2024))*(AL$39&lt;=$E$28)</f>
        <v>0</v>
      </c>
      <c r="AM48" s="508" cm="1">
        <f t="array" ref="AM48">IF(AM$40&gt;2060,0,INDEX(revenueMatrixNew,($E$16-1)*40+$G48+2,AM$40-2024))*(AM$39&lt;=$E$28)</f>
        <v>0</v>
      </c>
      <c r="AN48" s="508" cm="1">
        <f t="array" ref="AN48">IF(AN$40&gt;2060,0,INDEX(revenueMatrixNew,($E$16-1)*40+$G48+2,AN$40-2024))*(AN$39&lt;=$E$28)</f>
        <v>0</v>
      </c>
      <c r="AO48" s="508" cm="1">
        <f t="array" ref="AO48">IF(AO$40&gt;2060,0,INDEX(revenueMatrixNew,($E$16-1)*40+$G48+2,AO$40-2024))*(AO$39&lt;=$E$28)</f>
        <v>0</v>
      </c>
      <c r="AP48" s="508" cm="1">
        <f t="array" ref="AP48">IF(AP$40&gt;2060,0,INDEX(revenueMatrixNew,($E$16-1)*40+$G48+2,AP$40-2024))*(AP$39&lt;=$E$28)</f>
        <v>0</v>
      </c>
      <c r="AQ48" s="508" cm="1">
        <f t="array" ref="AQ48">IF(AQ$40&gt;2060,0,INDEX(revenueMatrixNew,($E$16-1)*40+$G48+2,AQ$40-2024))*(AQ$39&lt;=$E$28)</f>
        <v>0</v>
      </c>
      <c r="AR48" s="508" cm="1">
        <f t="array" ref="AR48">IF(AR$40&gt;2060,0,INDEX(revenueMatrixNew,($E$16-1)*40+$G48+2,AR$40-2024))*(AR$39&lt;=$E$28)</f>
        <v>0</v>
      </c>
      <c r="AS48" s="508" cm="1">
        <f t="array" ref="AS48">IF(AS$40&gt;2060,0,INDEX(revenueMatrixNew,($E$16-1)*40+$G48+2,AS$40-2024))*(AS$39&lt;=$E$28)</f>
        <v>0</v>
      </c>
      <c r="AT48" s="508" cm="1">
        <f t="array" ref="AT48">IF(AT$40&gt;2060,0,INDEX(revenueMatrixNew,($E$16-1)*40+$G48+2,AT$40-2024))*(AT$39&lt;=$E$28)</f>
        <v>0</v>
      </c>
      <c r="AU48" s="508" cm="1">
        <f t="array" ref="AU48">IF(AU$40&gt;2060,0,INDEX(revenueMatrixNew,($E$16-1)*40+$G48+2,AU$40-2024))*(AU$39&lt;=$E$28)</f>
        <v>0</v>
      </c>
      <c r="AV48" s="508" cm="1">
        <f t="array" ref="AV48">IF(AV$40&gt;2060,0,INDEX(revenueMatrixNew,($E$16-1)*40+$G48+2,AV$40-2024))*(AV$39&lt;=$E$28)</f>
        <v>0</v>
      </c>
      <c r="AW48" s="508" cm="1">
        <f t="array" ref="AW48">IF(AW$40&gt;2060,0,INDEX(revenueMatrixNew,($E$16-1)*40+$G48+2,AW$40-2024))*(AW$39&lt;=$E$28)</f>
        <v>0</v>
      </c>
      <c r="AX48" s="508" cm="1">
        <f t="array" ref="AX48">IF(AX$40&gt;2060,0,INDEX(revenueMatrixNew,($E$16-1)*40+$G48+2,AX$40-2024))*(AX$39&lt;=$E$28)</f>
        <v>0</v>
      </c>
      <c r="AY48" s="508" cm="1">
        <f t="array" ref="AY48">IF(AY$40&gt;2060,0,INDEX(revenueMatrixNew,($E$16-1)*40+$G48+2,AY$40-2024))*(AY$39&lt;=$E$28)</f>
        <v>0</v>
      </c>
      <c r="AZ48" s="508" cm="1">
        <f t="array" ref="AZ48">IF(AZ$40&gt;2060,0,INDEX(revenueMatrixNew,($E$16-1)*40+$G48+2,AZ$40-2024))*(AZ$39&lt;=$E$28)</f>
        <v>0</v>
      </c>
      <c r="BB48" s="163"/>
      <c r="BD48" s="472"/>
      <c r="BE48" s="469"/>
      <c r="BF48" s="469"/>
      <c r="BG48" s="469"/>
      <c r="BH48" s="469"/>
      <c r="BI48" s="469"/>
      <c r="BJ48" s="469"/>
      <c r="BK48" s="469"/>
      <c r="BL48" s="476"/>
      <c r="BM48" s="469"/>
      <c r="BN48" s="469"/>
      <c r="BO48" s="469"/>
      <c r="BP48" s="469"/>
      <c r="BQ48" s="469"/>
      <c r="BR48" s="469"/>
    </row>
    <row r="49" spans="1:70" x14ac:dyDescent="0.3">
      <c r="A49" s="511"/>
      <c r="B49" s="6">
        <v>36</v>
      </c>
      <c r="C49" s="512" t="s">
        <v>73</v>
      </c>
      <c r="D49" s="513" t="s">
        <v>493</v>
      </c>
      <c r="E49" s="514">
        <f>SUM(E48:E48)</f>
        <v>385</v>
      </c>
      <c r="F49" s="163"/>
      <c r="G49" s="473">
        <v>6</v>
      </c>
      <c r="I49" s="507" t="str">
        <f>Benefits!E13</f>
        <v>Incurred Energy Charges</v>
      </c>
      <c r="J49" t="s">
        <v>7</v>
      </c>
      <c r="K49" s="483">
        <f t="shared" si="8"/>
        <v>0</v>
      </c>
      <c r="L49" s="434">
        <v>0</v>
      </c>
      <c r="M49" s="508" cm="1">
        <f t="array" ref="M49">IF(M$40&gt;2060,0,INDEX(revenueMatrixNew,($E$16-1)*40+$G49+2,M$40-2024))*(M$39&lt;=$E$28)</f>
        <v>0</v>
      </c>
      <c r="N49" s="508" cm="1">
        <f t="array" ref="N49">IF(N$40&gt;2060,0,INDEX(revenueMatrixNew,($E$16-1)*40+$G49+2,N$40-2024))*(N$39&lt;=$E$28)</f>
        <v>0</v>
      </c>
      <c r="O49" s="508" cm="1">
        <f t="array" ref="O49">IF(O$40&gt;2060,0,INDEX(revenueMatrixNew,($E$16-1)*40+$G49+2,O$40-2024))*(O$39&lt;=$E$28)</f>
        <v>0</v>
      </c>
      <c r="P49" s="508" cm="1">
        <f t="array" ref="P49">IF(P$40&gt;2060,0,INDEX(revenueMatrixNew,($E$16-1)*40+$G49+2,P$40-2024))*(P$39&lt;=$E$28)</f>
        <v>0</v>
      </c>
      <c r="Q49" s="508" cm="1">
        <f t="array" ref="Q49">IF(Q$40&gt;2060,0,INDEX(revenueMatrixNew,($E$16-1)*40+$G49+2,Q$40-2024))*(Q$39&lt;=$E$28)</f>
        <v>0</v>
      </c>
      <c r="R49" s="508" cm="1">
        <f t="array" ref="R49">IF(R$40&gt;2060,0,INDEX(revenueMatrixNew,($E$16-1)*40+$G49+2,R$40-2024))*(R$39&lt;=$E$28)</f>
        <v>0</v>
      </c>
      <c r="S49" s="508" cm="1">
        <f t="array" ref="S49">IF(S$40&gt;2060,0,INDEX(revenueMatrixNew,($E$16-1)*40+$G49+2,S$40-2024))*(S$39&lt;=$E$28)</f>
        <v>0</v>
      </c>
      <c r="T49" s="508" cm="1">
        <f t="array" ref="T49">IF(T$40&gt;2060,0,INDEX(revenueMatrixNew,($E$16-1)*40+$G49+2,T$40-2024))*(T$39&lt;=$E$28)</f>
        <v>0</v>
      </c>
      <c r="U49" s="508" cm="1">
        <f t="array" ref="U49">IF(U$40&gt;2060,0,INDEX(revenueMatrixNew,($E$16-1)*40+$G49+2,U$40-2024))*(U$39&lt;=$E$28)</f>
        <v>0</v>
      </c>
      <c r="V49" s="508" cm="1">
        <f t="array" ref="V49">IF(V$40&gt;2060,0,INDEX(revenueMatrixNew,($E$16-1)*40+$G49+2,V$40-2024))*(V$39&lt;=$E$28)</f>
        <v>0</v>
      </c>
      <c r="W49" s="508" cm="1">
        <f t="array" ref="W49">IF(W$40&gt;2060,0,INDEX(revenueMatrixNew,($E$16-1)*40+$G49+2,W$40-2024))*(W$39&lt;=$E$28)</f>
        <v>0</v>
      </c>
      <c r="X49" s="508" cm="1">
        <f t="array" ref="X49">IF(X$40&gt;2060,0,INDEX(revenueMatrixNew,($E$16-1)*40+$G49+2,X$40-2024))*(X$39&lt;=$E$28)</f>
        <v>0</v>
      </c>
      <c r="Y49" s="508" cm="1">
        <f t="array" ref="Y49">IF(Y$40&gt;2060,0,INDEX(revenueMatrixNew,($E$16-1)*40+$G49+2,Y$40-2024))*(Y$39&lt;=$E$28)</f>
        <v>0</v>
      </c>
      <c r="Z49" s="508" cm="1">
        <f t="array" ref="Z49">IF(Z$40&gt;2060,0,INDEX(revenueMatrixNew,($E$16-1)*40+$G49+2,Z$40-2024))*(Z$39&lt;=$E$28)</f>
        <v>0</v>
      </c>
      <c r="AA49" s="508" cm="1">
        <f t="array" ref="AA49">IF(AA$40&gt;2060,0,INDEX(revenueMatrixNew,($E$16-1)*40+$G49+2,AA$40-2024))*(AA$39&lt;=$E$28)</f>
        <v>0</v>
      </c>
      <c r="AB49" s="508" cm="1">
        <f t="array" ref="AB49">IF(AB$40&gt;2060,0,INDEX(revenueMatrixNew,($E$16-1)*40+$G49+2,AB$40-2024))*(AB$39&lt;=$E$28)</f>
        <v>0</v>
      </c>
      <c r="AC49" s="508" cm="1">
        <f t="array" ref="AC49">IF(AC$40&gt;2060,0,INDEX(revenueMatrixNew,($E$16-1)*40+$G49+2,AC$40-2024))*(AC$39&lt;=$E$28)</f>
        <v>0</v>
      </c>
      <c r="AD49" s="508" cm="1">
        <f t="array" ref="AD49">IF(AD$40&gt;2060,0,INDEX(revenueMatrixNew,($E$16-1)*40+$G49+2,AD$40-2024))*(AD$39&lt;=$E$28)</f>
        <v>0</v>
      </c>
      <c r="AE49" s="508" cm="1">
        <f t="array" ref="AE49">IF(AE$40&gt;2060,0,INDEX(revenueMatrixNew,($E$16-1)*40+$G49+2,AE$40-2024))*(AE$39&lt;=$E$28)</f>
        <v>0</v>
      </c>
      <c r="AF49" s="508" cm="1">
        <f t="array" ref="AF49">IF(AF$40&gt;2060,0,INDEX(revenueMatrixNew,($E$16-1)*40+$G49+2,AF$40-2024))*(AF$39&lt;=$E$28)</f>
        <v>0</v>
      </c>
      <c r="AG49" s="508" cm="1">
        <f t="array" ref="AG49">IF(AG$40&gt;2060,0,INDEX(revenueMatrixNew,($E$16-1)*40+$G49+2,AG$40-2024))*(AG$39&lt;=$E$28)</f>
        <v>0</v>
      </c>
      <c r="AH49" s="508" cm="1">
        <f t="array" ref="AH49">IF(AH$40&gt;2060,0,INDEX(revenueMatrixNew,($E$16-1)*40+$G49+2,AH$40-2024))*(AH$39&lt;=$E$28)</f>
        <v>0</v>
      </c>
      <c r="AI49" s="508" cm="1">
        <f t="array" ref="AI49">IF(AI$40&gt;2060,0,INDEX(revenueMatrixNew,($E$16-1)*40+$G49+2,AI$40-2024))*(AI$39&lt;=$E$28)</f>
        <v>0</v>
      </c>
      <c r="AJ49" s="508" cm="1">
        <f t="array" ref="AJ49">IF(AJ$40&gt;2060,0,INDEX(revenueMatrixNew,($E$16-1)*40+$G49+2,AJ$40-2024))*(AJ$39&lt;=$E$28)</f>
        <v>0</v>
      </c>
      <c r="AK49" s="508" cm="1">
        <f t="array" ref="AK49">IF(AK$40&gt;2060,0,INDEX(revenueMatrixNew,($E$16-1)*40+$G49+2,AK$40-2024))*(AK$39&lt;=$E$28)</f>
        <v>0</v>
      </c>
      <c r="AL49" s="508" cm="1">
        <f t="array" ref="AL49">IF(AL$40&gt;2060,0,INDEX(revenueMatrixNew,($E$16-1)*40+$G49+2,AL$40-2024))*(AL$39&lt;=$E$28)</f>
        <v>0</v>
      </c>
      <c r="AM49" s="508" cm="1">
        <f t="array" ref="AM49">IF(AM$40&gt;2060,0,INDEX(revenueMatrixNew,($E$16-1)*40+$G49+2,AM$40-2024))*(AM$39&lt;=$E$28)</f>
        <v>0</v>
      </c>
      <c r="AN49" s="508" cm="1">
        <f t="array" ref="AN49">IF(AN$40&gt;2060,0,INDEX(revenueMatrixNew,($E$16-1)*40+$G49+2,AN$40-2024))*(AN$39&lt;=$E$28)</f>
        <v>0</v>
      </c>
      <c r="AO49" s="508" cm="1">
        <f t="array" ref="AO49">IF(AO$40&gt;2060,0,INDEX(revenueMatrixNew,($E$16-1)*40+$G49+2,AO$40-2024))*(AO$39&lt;=$E$28)</f>
        <v>0</v>
      </c>
      <c r="AP49" s="508" cm="1">
        <f t="array" ref="AP49">IF(AP$40&gt;2060,0,INDEX(revenueMatrixNew,($E$16-1)*40+$G49+2,AP$40-2024))*(AP$39&lt;=$E$28)</f>
        <v>0</v>
      </c>
      <c r="AQ49" s="508" cm="1">
        <f t="array" ref="AQ49">IF(AQ$40&gt;2060,0,INDEX(revenueMatrixNew,($E$16-1)*40+$G49+2,AQ$40-2024))*(AQ$39&lt;=$E$28)</f>
        <v>0</v>
      </c>
      <c r="AR49" s="508" cm="1">
        <f t="array" ref="AR49">IF(AR$40&gt;2060,0,INDEX(revenueMatrixNew,($E$16-1)*40+$G49+2,AR$40-2024))*(AR$39&lt;=$E$28)</f>
        <v>0</v>
      </c>
      <c r="AS49" s="508" cm="1">
        <f t="array" ref="AS49">IF(AS$40&gt;2060,0,INDEX(revenueMatrixNew,($E$16-1)*40+$G49+2,AS$40-2024))*(AS$39&lt;=$E$28)</f>
        <v>0</v>
      </c>
      <c r="AT49" s="508" cm="1">
        <f t="array" ref="AT49">IF(AT$40&gt;2060,0,INDEX(revenueMatrixNew,($E$16-1)*40+$G49+2,AT$40-2024))*(AT$39&lt;=$E$28)</f>
        <v>0</v>
      </c>
      <c r="AU49" s="508" cm="1">
        <f t="array" ref="AU49">IF(AU$40&gt;2060,0,INDEX(revenueMatrixNew,($E$16-1)*40+$G49+2,AU$40-2024))*(AU$39&lt;=$E$28)</f>
        <v>0</v>
      </c>
      <c r="AV49" s="508" cm="1">
        <f t="array" ref="AV49">IF(AV$40&gt;2060,0,INDEX(revenueMatrixNew,($E$16-1)*40+$G49+2,AV$40-2024))*(AV$39&lt;=$E$28)</f>
        <v>0</v>
      </c>
      <c r="AW49" s="508" cm="1">
        <f t="array" ref="AW49">IF(AW$40&gt;2060,0,INDEX(revenueMatrixNew,($E$16-1)*40+$G49+2,AW$40-2024))*(AW$39&lt;=$E$28)</f>
        <v>0</v>
      </c>
      <c r="AX49" s="508" cm="1">
        <f t="array" ref="AX49">IF(AX$40&gt;2060,0,INDEX(revenueMatrixNew,($E$16-1)*40+$G49+2,AX$40-2024))*(AX$39&lt;=$E$28)</f>
        <v>0</v>
      </c>
      <c r="AY49" s="508" cm="1">
        <f t="array" ref="AY49">IF(AY$40&gt;2060,0,INDEX(revenueMatrixNew,($E$16-1)*40+$G49+2,AY$40-2024))*(AY$39&lt;=$E$28)</f>
        <v>0</v>
      </c>
      <c r="AZ49" s="508" cm="1">
        <f t="array" ref="AZ49">IF(AZ$40&gt;2060,0,INDEX(revenueMatrixNew,($E$16-1)*40+$G49+2,AZ$40-2024))*(AZ$39&lt;=$E$28)</f>
        <v>0</v>
      </c>
      <c r="BB49" s="163"/>
      <c r="BD49" s="472"/>
      <c r="BE49" s="469"/>
      <c r="BF49" s="469"/>
      <c r="BG49" s="469"/>
      <c r="BH49" s="469"/>
      <c r="BI49" s="469"/>
      <c r="BJ49" s="469"/>
      <c r="BK49" s="469"/>
      <c r="BL49" s="476"/>
      <c r="BM49" s="469"/>
      <c r="BN49" s="469"/>
      <c r="BO49" s="469"/>
      <c r="BP49" s="469"/>
      <c r="BQ49" s="469"/>
      <c r="BR49" s="469"/>
    </row>
    <row r="50" spans="1:70" x14ac:dyDescent="0.3">
      <c r="A50" s="495"/>
      <c r="B50" s="6">
        <v>37</v>
      </c>
      <c r="C50" s="493" t="s">
        <v>74</v>
      </c>
      <c r="D50" s="479" t="s">
        <v>9</v>
      </c>
      <c r="E50" s="327">
        <f>INDEX(InputsMatrix,$E$16,$B50)</f>
        <v>0.02</v>
      </c>
      <c r="F50" s="515"/>
      <c r="G50" s="473">
        <v>7</v>
      </c>
      <c r="I50" s="507" t="str">
        <f>Benefits!E14</f>
        <v>As Used Demand Charges</v>
      </c>
      <c r="J50" t="s">
        <v>7</v>
      </c>
      <c r="K50" s="483">
        <f t="shared" si="8"/>
        <v>0</v>
      </c>
      <c r="L50" s="434">
        <v>0</v>
      </c>
      <c r="M50" s="508" cm="1">
        <f t="array" ref="M50">IF(M$40&gt;2060,0,INDEX(revenueMatrixNew,($E$16-1)*40+$G50+2,M$40-2024))*(M$39&lt;=$E$28)</f>
        <v>0</v>
      </c>
      <c r="N50" s="508" cm="1">
        <f t="array" ref="N50">IF(N$40&gt;2060,0,INDEX(revenueMatrixNew,($E$16-1)*40+$G50+2,N$40-2024))*(N$39&lt;=$E$28)</f>
        <v>0</v>
      </c>
      <c r="O50" s="508" cm="1">
        <f t="array" ref="O50">IF(O$40&gt;2060,0,INDEX(revenueMatrixNew,($E$16-1)*40+$G50+2,O$40-2024))*(O$39&lt;=$E$28)</f>
        <v>0</v>
      </c>
      <c r="P50" s="508" cm="1">
        <f t="array" ref="P50">IF(P$40&gt;2060,0,INDEX(revenueMatrixNew,($E$16-1)*40+$G50+2,P$40-2024))*(P$39&lt;=$E$28)</f>
        <v>0</v>
      </c>
      <c r="Q50" s="508" cm="1">
        <f t="array" ref="Q50">IF(Q$40&gt;2060,0,INDEX(revenueMatrixNew,($E$16-1)*40+$G50+2,Q$40-2024))*(Q$39&lt;=$E$28)</f>
        <v>0</v>
      </c>
      <c r="R50" s="508" cm="1">
        <f t="array" ref="R50">IF(R$40&gt;2060,0,INDEX(revenueMatrixNew,($E$16-1)*40+$G50+2,R$40-2024))*(R$39&lt;=$E$28)</f>
        <v>0</v>
      </c>
      <c r="S50" s="508" cm="1">
        <f t="array" ref="S50">IF(S$40&gt;2060,0,INDEX(revenueMatrixNew,($E$16-1)*40+$G50+2,S$40-2024))*(S$39&lt;=$E$28)</f>
        <v>0</v>
      </c>
      <c r="T50" s="508" cm="1">
        <f t="array" ref="T50">IF(T$40&gt;2060,0,INDEX(revenueMatrixNew,($E$16-1)*40+$G50+2,T$40-2024))*(T$39&lt;=$E$28)</f>
        <v>0</v>
      </c>
      <c r="U50" s="508" cm="1">
        <f t="array" ref="U50">IF(U$40&gt;2060,0,INDEX(revenueMatrixNew,($E$16-1)*40+$G50+2,U$40-2024))*(U$39&lt;=$E$28)</f>
        <v>0</v>
      </c>
      <c r="V50" s="508" cm="1">
        <f t="array" ref="V50">IF(V$40&gt;2060,0,INDEX(revenueMatrixNew,($E$16-1)*40+$G50+2,V$40-2024))*(V$39&lt;=$E$28)</f>
        <v>0</v>
      </c>
      <c r="W50" s="508" cm="1">
        <f t="array" ref="W50">IF(W$40&gt;2060,0,INDEX(revenueMatrixNew,($E$16-1)*40+$G50+2,W$40-2024))*(W$39&lt;=$E$28)</f>
        <v>0</v>
      </c>
      <c r="X50" s="508" cm="1">
        <f t="array" ref="X50">IF(X$40&gt;2060,0,INDEX(revenueMatrixNew,($E$16-1)*40+$G50+2,X$40-2024))*(X$39&lt;=$E$28)</f>
        <v>0</v>
      </c>
      <c r="Y50" s="508" cm="1">
        <f t="array" ref="Y50">IF(Y$40&gt;2060,0,INDEX(revenueMatrixNew,($E$16-1)*40+$G50+2,Y$40-2024))*(Y$39&lt;=$E$28)</f>
        <v>0</v>
      </c>
      <c r="Z50" s="508" cm="1">
        <f t="array" ref="Z50">IF(Z$40&gt;2060,0,INDEX(revenueMatrixNew,($E$16-1)*40+$G50+2,Z$40-2024))*(Z$39&lt;=$E$28)</f>
        <v>0</v>
      </c>
      <c r="AA50" s="508" cm="1">
        <f t="array" ref="AA50">IF(AA$40&gt;2060,0,INDEX(revenueMatrixNew,($E$16-1)*40+$G50+2,AA$40-2024))*(AA$39&lt;=$E$28)</f>
        <v>0</v>
      </c>
      <c r="AB50" s="508" cm="1">
        <f t="array" ref="AB50">IF(AB$40&gt;2060,0,INDEX(revenueMatrixNew,($E$16-1)*40+$G50+2,AB$40-2024))*(AB$39&lt;=$E$28)</f>
        <v>0</v>
      </c>
      <c r="AC50" s="508" cm="1">
        <f t="array" ref="AC50">IF(AC$40&gt;2060,0,INDEX(revenueMatrixNew,($E$16-1)*40+$G50+2,AC$40-2024))*(AC$39&lt;=$E$28)</f>
        <v>0</v>
      </c>
      <c r="AD50" s="508" cm="1">
        <f t="array" ref="AD50">IF(AD$40&gt;2060,0,INDEX(revenueMatrixNew,($E$16-1)*40+$G50+2,AD$40-2024))*(AD$39&lt;=$E$28)</f>
        <v>0</v>
      </c>
      <c r="AE50" s="508" cm="1">
        <f t="array" ref="AE50">IF(AE$40&gt;2060,0,INDEX(revenueMatrixNew,($E$16-1)*40+$G50+2,AE$40-2024))*(AE$39&lt;=$E$28)</f>
        <v>0</v>
      </c>
      <c r="AF50" s="508" cm="1">
        <f t="array" ref="AF50">IF(AF$40&gt;2060,0,INDEX(revenueMatrixNew,($E$16-1)*40+$G50+2,AF$40-2024))*(AF$39&lt;=$E$28)</f>
        <v>0</v>
      </c>
      <c r="AG50" s="508" cm="1">
        <f t="array" ref="AG50">IF(AG$40&gt;2060,0,INDEX(revenueMatrixNew,($E$16-1)*40+$G50+2,AG$40-2024))*(AG$39&lt;=$E$28)</f>
        <v>0</v>
      </c>
      <c r="AH50" s="508" cm="1">
        <f t="array" ref="AH50">IF(AH$40&gt;2060,0,INDEX(revenueMatrixNew,($E$16-1)*40+$G50+2,AH$40-2024))*(AH$39&lt;=$E$28)</f>
        <v>0</v>
      </c>
      <c r="AI50" s="508" cm="1">
        <f t="array" ref="AI50">IF(AI$40&gt;2060,0,INDEX(revenueMatrixNew,($E$16-1)*40+$G50+2,AI$40-2024))*(AI$39&lt;=$E$28)</f>
        <v>0</v>
      </c>
      <c r="AJ50" s="508" cm="1">
        <f t="array" ref="AJ50">IF(AJ$40&gt;2060,0,INDEX(revenueMatrixNew,($E$16-1)*40+$G50+2,AJ$40-2024))*(AJ$39&lt;=$E$28)</f>
        <v>0</v>
      </c>
      <c r="AK50" s="508" cm="1">
        <f t="array" ref="AK50">IF(AK$40&gt;2060,0,INDEX(revenueMatrixNew,($E$16-1)*40+$G50+2,AK$40-2024))*(AK$39&lt;=$E$28)</f>
        <v>0</v>
      </c>
      <c r="AL50" s="508" cm="1">
        <f t="array" ref="AL50">IF(AL$40&gt;2060,0,INDEX(revenueMatrixNew,($E$16-1)*40+$G50+2,AL$40-2024))*(AL$39&lt;=$E$28)</f>
        <v>0</v>
      </c>
      <c r="AM50" s="508" cm="1">
        <f t="array" ref="AM50">IF(AM$40&gt;2060,0,INDEX(revenueMatrixNew,($E$16-1)*40+$G50+2,AM$40-2024))*(AM$39&lt;=$E$28)</f>
        <v>0</v>
      </c>
      <c r="AN50" s="508" cm="1">
        <f t="array" ref="AN50">IF(AN$40&gt;2060,0,INDEX(revenueMatrixNew,($E$16-1)*40+$G50+2,AN$40-2024))*(AN$39&lt;=$E$28)</f>
        <v>0</v>
      </c>
      <c r="AO50" s="508" cm="1">
        <f t="array" ref="AO50">IF(AO$40&gt;2060,0,INDEX(revenueMatrixNew,($E$16-1)*40+$G50+2,AO$40-2024))*(AO$39&lt;=$E$28)</f>
        <v>0</v>
      </c>
      <c r="AP50" s="508" cm="1">
        <f t="array" ref="AP50">IF(AP$40&gt;2060,0,INDEX(revenueMatrixNew,($E$16-1)*40+$G50+2,AP$40-2024))*(AP$39&lt;=$E$28)</f>
        <v>0</v>
      </c>
      <c r="AQ50" s="508" cm="1">
        <f t="array" ref="AQ50">IF(AQ$40&gt;2060,0,INDEX(revenueMatrixNew,($E$16-1)*40+$G50+2,AQ$40-2024))*(AQ$39&lt;=$E$28)</f>
        <v>0</v>
      </c>
      <c r="AR50" s="508" cm="1">
        <f t="array" ref="AR50">IF(AR$40&gt;2060,0,INDEX(revenueMatrixNew,($E$16-1)*40+$G50+2,AR$40-2024))*(AR$39&lt;=$E$28)</f>
        <v>0</v>
      </c>
      <c r="AS50" s="508" cm="1">
        <f t="array" ref="AS50">IF(AS$40&gt;2060,0,INDEX(revenueMatrixNew,($E$16-1)*40+$G50+2,AS$40-2024))*(AS$39&lt;=$E$28)</f>
        <v>0</v>
      </c>
      <c r="AT50" s="508" cm="1">
        <f t="array" ref="AT50">IF(AT$40&gt;2060,0,INDEX(revenueMatrixNew,($E$16-1)*40+$G50+2,AT$40-2024))*(AT$39&lt;=$E$28)</f>
        <v>0</v>
      </c>
      <c r="AU50" s="508" cm="1">
        <f t="array" ref="AU50">IF(AU$40&gt;2060,0,INDEX(revenueMatrixNew,($E$16-1)*40+$G50+2,AU$40-2024))*(AU$39&lt;=$E$28)</f>
        <v>0</v>
      </c>
      <c r="AV50" s="508" cm="1">
        <f t="array" ref="AV50">IF(AV$40&gt;2060,0,INDEX(revenueMatrixNew,($E$16-1)*40+$G50+2,AV$40-2024))*(AV$39&lt;=$E$28)</f>
        <v>0</v>
      </c>
      <c r="AW50" s="508" cm="1">
        <f t="array" ref="AW50">IF(AW$40&gt;2060,0,INDEX(revenueMatrixNew,($E$16-1)*40+$G50+2,AW$40-2024))*(AW$39&lt;=$E$28)</f>
        <v>0</v>
      </c>
      <c r="AX50" s="508" cm="1">
        <f t="array" ref="AX50">IF(AX$40&gt;2060,0,INDEX(revenueMatrixNew,($E$16-1)*40+$G50+2,AX$40-2024))*(AX$39&lt;=$E$28)</f>
        <v>0</v>
      </c>
      <c r="AY50" s="508" cm="1">
        <f t="array" ref="AY50">IF(AY$40&gt;2060,0,INDEX(revenueMatrixNew,($E$16-1)*40+$G50+2,AY$40-2024))*(AY$39&lt;=$E$28)</f>
        <v>0</v>
      </c>
      <c r="AZ50" s="508" cm="1">
        <f t="array" ref="AZ50">IF(AZ$40&gt;2060,0,INDEX(revenueMatrixNew,($E$16-1)*40+$G50+2,AZ$40-2024))*(AZ$39&lt;=$E$28)</f>
        <v>0</v>
      </c>
      <c r="BB50" s="163"/>
      <c r="BD50" s="472"/>
      <c r="BE50" s="469"/>
      <c r="BF50" s="469"/>
      <c r="BG50" s="469"/>
      <c r="BH50" s="469"/>
      <c r="BI50" s="469"/>
      <c r="BJ50" s="469"/>
      <c r="BK50" s="469"/>
      <c r="BL50" s="476"/>
      <c r="BM50" s="469"/>
      <c r="BN50" s="469"/>
      <c r="BO50" s="469"/>
      <c r="BP50" s="469"/>
      <c r="BQ50" s="469"/>
      <c r="BR50" s="469"/>
    </row>
    <row r="51" spans="1:70" x14ac:dyDescent="0.3">
      <c r="A51" s="495"/>
      <c r="B51" s="6"/>
      <c r="C51" s="487"/>
      <c r="D51" s="479"/>
      <c r="E51" s="516"/>
      <c r="F51" s="163"/>
      <c r="G51" s="473">
        <v>8</v>
      </c>
      <c r="I51" s="507" t="str">
        <f>Benefits!E15</f>
        <v>Contract Demand Charges  Fixed</v>
      </c>
      <c r="J51" t="s">
        <v>7</v>
      </c>
      <c r="K51" s="483">
        <f t="shared" si="8"/>
        <v>0</v>
      </c>
      <c r="L51" s="434">
        <v>0</v>
      </c>
      <c r="M51" s="508" cm="1">
        <f t="array" ref="M51">IF(M$40&gt;2060,0,INDEX(revenueMatrixNew,($E$16-1)*40+$G51+2,M$40-2024))*(M$39&lt;=$E$28)</f>
        <v>0</v>
      </c>
      <c r="N51" s="508" cm="1">
        <f t="array" ref="N51">IF(N$40&gt;2060,0,INDEX(revenueMatrixNew,($E$16-1)*40+$G51+2,N$40-2024))*(N$39&lt;=$E$28)</f>
        <v>0</v>
      </c>
      <c r="O51" s="508" cm="1">
        <f t="array" ref="O51">IF(O$40&gt;2060,0,INDEX(revenueMatrixNew,($E$16-1)*40+$G51+2,O$40-2024))*(O$39&lt;=$E$28)</f>
        <v>0</v>
      </c>
      <c r="P51" s="508" cm="1">
        <f t="array" ref="P51">IF(P$40&gt;2060,0,INDEX(revenueMatrixNew,($E$16-1)*40+$G51+2,P$40-2024))*(P$39&lt;=$E$28)</f>
        <v>0</v>
      </c>
      <c r="Q51" s="508" cm="1">
        <f t="array" ref="Q51">IF(Q$40&gt;2060,0,INDEX(revenueMatrixNew,($E$16-1)*40+$G51+2,Q$40-2024))*(Q$39&lt;=$E$28)</f>
        <v>0</v>
      </c>
      <c r="R51" s="508" cm="1">
        <f t="array" ref="R51">IF(R$40&gt;2060,0,INDEX(revenueMatrixNew,($E$16-1)*40+$G51+2,R$40-2024))*(R$39&lt;=$E$28)</f>
        <v>0</v>
      </c>
      <c r="S51" s="508" cm="1">
        <f t="array" ref="S51">IF(S$40&gt;2060,0,INDEX(revenueMatrixNew,($E$16-1)*40+$G51+2,S$40-2024))*(S$39&lt;=$E$28)</f>
        <v>0</v>
      </c>
      <c r="T51" s="508" cm="1">
        <f t="array" ref="T51">IF(T$40&gt;2060,0,INDEX(revenueMatrixNew,($E$16-1)*40+$G51+2,T$40-2024))*(T$39&lt;=$E$28)</f>
        <v>0</v>
      </c>
      <c r="U51" s="508" cm="1">
        <f t="array" ref="U51">IF(U$40&gt;2060,0,INDEX(revenueMatrixNew,($E$16-1)*40+$G51+2,U$40-2024))*(U$39&lt;=$E$28)</f>
        <v>0</v>
      </c>
      <c r="V51" s="508" cm="1">
        <f t="array" ref="V51">IF(V$40&gt;2060,0,INDEX(revenueMatrixNew,($E$16-1)*40+$G51+2,V$40-2024))*(V$39&lt;=$E$28)</f>
        <v>0</v>
      </c>
      <c r="W51" s="508" cm="1">
        <f t="array" ref="W51">IF(W$40&gt;2060,0,INDEX(revenueMatrixNew,($E$16-1)*40+$G51+2,W$40-2024))*(W$39&lt;=$E$28)</f>
        <v>0</v>
      </c>
      <c r="X51" s="508" cm="1">
        <f t="array" ref="X51">IF(X$40&gt;2060,0,INDEX(revenueMatrixNew,($E$16-1)*40+$G51+2,X$40-2024))*(X$39&lt;=$E$28)</f>
        <v>0</v>
      </c>
      <c r="Y51" s="508" cm="1">
        <f t="array" ref="Y51">IF(Y$40&gt;2060,0,INDEX(revenueMatrixNew,($E$16-1)*40+$G51+2,Y$40-2024))*(Y$39&lt;=$E$28)</f>
        <v>0</v>
      </c>
      <c r="Z51" s="508" cm="1">
        <f t="array" ref="Z51">IF(Z$40&gt;2060,0,INDEX(revenueMatrixNew,($E$16-1)*40+$G51+2,Z$40-2024))*(Z$39&lt;=$E$28)</f>
        <v>0</v>
      </c>
      <c r="AA51" s="508" cm="1">
        <f t="array" ref="AA51">IF(AA$40&gt;2060,0,INDEX(revenueMatrixNew,($E$16-1)*40+$G51+2,AA$40-2024))*(AA$39&lt;=$E$28)</f>
        <v>0</v>
      </c>
      <c r="AB51" s="508" cm="1">
        <f t="array" ref="AB51">IF(AB$40&gt;2060,0,INDEX(revenueMatrixNew,($E$16-1)*40+$G51+2,AB$40-2024))*(AB$39&lt;=$E$28)</f>
        <v>0</v>
      </c>
      <c r="AC51" s="508" cm="1">
        <f t="array" ref="AC51">IF(AC$40&gt;2060,0,INDEX(revenueMatrixNew,($E$16-1)*40+$G51+2,AC$40-2024))*(AC$39&lt;=$E$28)</f>
        <v>0</v>
      </c>
      <c r="AD51" s="508" cm="1">
        <f t="array" ref="AD51">IF(AD$40&gt;2060,0,INDEX(revenueMatrixNew,($E$16-1)*40+$G51+2,AD$40-2024))*(AD$39&lt;=$E$28)</f>
        <v>0</v>
      </c>
      <c r="AE51" s="508" cm="1">
        <f t="array" ref="AE51">IF(AE$40&gt;2060,0,INDEX(revenueMatrixNew,($E$16-1)*40+$G51+2,AE$40-2024))*(AE$39&lt;=$E$28)</f>
        <v>0</v>
      </c>
      <c r="AF51" s="508" cm="1">
        <f t="array" ref="AF51">IF(AF$40&gt;2060,0,INDEX(revenueMatrixNew,($E$16-1)*40+$G51+2,AF$40-2024))*(AF$39&lt;=$E$28)</f>
        <v>0</v>
      </c>
      <c r="AG51" s="508" cm="1">
        <f t="array" ref="AG51">IF(AG$40&gt;2060,0,INDEX(revenueMatrixNew,($E$16-1)*40+$G51+2,AG$40-2024))*(AG$39&lt;=$E$28)</f>
        <v>0</v>
      </c>
      <c r="AH51" s="508" cm="1">
        <f t="array" ref="AH51">IF(AH$40&gt;2060,0,INDEX(revenueMatrixNew,($E$16-1)*40+$G51+2,AH$40-2024))*(AH$39&lt;=$E$28)</f>
        <v>0</v>
      </c>
      <c r="AI51" s="508" cm="1">
        <f t="array" ref="AI51">IF(AI$40&gt;2060,0,INDEX(revenueMatrixNew,($E$16-1)*40+$G51+2,AI$40-2024))*(AI$39&lt;=$E$28)</f>
        <v>0</v>
      </c>
      <c r="AJ51" s="508" cm="1">
        <f t="array" ref="AJ51">IF(AJ$40&gt;2060,0,INDEX(revenueMatrixNew,($E$16-1)*40+$G51+2,AJ$40-2024))*(AJ$39&lt;=$E$28)</f>
        <v>0</v>
      </c>
      <c r="AK51" s="508" cm="1">
        <f t="array" ref="AK51">IF(AK$40&gt;2060,0,INDEX(revenueMatrixNew,($E$16-1)*40+$G51+2,AK$40-2024))*(AK$39&lt;=$E$28)</f>
        <v>0</v>
      </c>
      <c r="AL51" s="508" cm="1">
        <f t="array" ref="AL51">IF(AL$40&gt;2060,0,INDEX(revenueMatrixNew,($E$16-1)*40+$G51+2,AL$40-2024))*(AL$39&lt;=$E$28)</f>
        <v>0</v>
      </c>
      <c r="AM51" s="508" cm="1">
        <f t="array" ref="AM51">IF(AM$40&gt;2060,0,INDEX(revenueMatrixNew,($E$16-1)*40+$G51+2,AM$40-2024))*(AM$39&lt;=$E$28)</f>
        <v>0</v>
      </c>
      <c r="AN51" s="508" cm="1">
        <f t="array" ref="AN51">IF(AN$40&gt;2060,0,INDEX(revenueMatrixNew,($E$16-1)*40+$G51+2,AN$40-2024))*(AN$39&lt;=$E$28)</f>
        <v>0</v>
      </c>
      <c r="AO51" s="508" cm="1">
        <f t="array" ref="AO51">IF(AO$40&gt;2060,0,INDEX(revenueMatrixNew,($E$16-1)*40+$G51+2,AO$40-2024))*(AO$39&lt;=$E$28)</f>
        <v>0</v>
      </c>
      <c r="AP51" s="508" cm="1">
        <f t="array" ref="AP51">IF(AP$40&gt;2060,0,INDEX(revenueMatrixNew,($E$16-1)*40+$G51+2,AP$40-2024))*(AP$39&lt;=$E$28)</f>
        <v>0</v>
      </c>
      <c r="AQ51" s="508" cm="1">
        <f t="array" ref="AQ51">IF(AQ$40&gt;2060,0,INDEX(revenueMatrixNew,($E$16-1)*40+$G51+2,AQ$40-2024))*(AQ$39&lt;=$E$28)</f>
        <v>0</v>
      </c>
      <c r="AR51" s="508" cm="1">
        <f t="array" ref="AR51">IF(AR$40&gt;2060,0,INDEX(revenueMatrixNew,($E$16-1)*40+$G51+2,AR$40-2024))*(AR$39&lt;=$E$28)</f>
        <v>0</v>
      </c>
      <c r="AS51" s="508" cm="1">
        <f t="array" ref="AS51">IF(AS$40&gt;2060,0,INDEX(revenueMatrixNew,($E$16-1)*40+$G51+2,AS$40-2024))*(AS$39&lt;=$E$28)</f>
        <v>0</v>
      </c>
      <c r="AT51" s="508" cm="1">
        <f t="array" ref="AT51">IF(AT$40&gt;2060,0,INDEX(revenueMatrixNew,($E$16-1)*40+$G51+2,AT$40-2024))*(AT$39&lt;=$E$28)</f>
        <v>0</v>
      </c>
      <c r="AU51" s="508" cm="1">
        <f t="array" ref="AU51">IF(AU$40&gt;2060,0,INDEX(revenueMatrixNew,($E$16-1)*40+$G51+2,AU$40-2024))*(AU$39&lt;=$E$28)</f>
        <v>0</v>
      </c>
      <c r="AV51" s="508" cm="1">
        <f t="array" ref="AV51">IF(AV$40&gt;2060,0,INDEX(revenueMatrixNew,($E$16-1)*40+$G51+2,AV$40-2024))*(AV$39&lt;=$E$28)</f>
        <v>0</v>
      </c>
      <c r="AW51" s="508" cm="1">
        <f t="array" ref="AW51">IF(AW$40&gt;2060,0,INDEX(revenueMatrixNew,($E$16-1)*40+$G51+2,AW$40-2024))*(AW$39&lt;=$E$28)</f>
        <v>0</v>
      </c>
      <c r="AX51" s="508" cm="1">
        <f t="array" ref="AX51">IF(AX$40&gt;2060,0,INDEX(revenueMatrixNew,($E$16-1)*40+$G51+2,AX$40-2024))*(AX$39&lt;=$E$28)</f>
        <v>0</v>
      </c>
      <c r="AY51" s="508" cm="1">
        <f t="array" ref="AY51">IF(AY$40&gt;2060,0,INDEX(revenueMatrixNew,($E$16-1)*40+$G51+2,AY$40-2024))*(AY$39&lt;=$E$28)</f>
        <v>0</v>
      </c>
      <c r="AZ51" s="508" cm="1">
        <f t="array" ref="AZ51">IF(AZ$40&gt;2060,0,INDEX(revenueMatrixNew,($E$16-1)*40+$G51+2,AZ$40-2024))*(AZ$39&lt;=$E$28)</f>
        <v>0</v>
      </c>
      <c r="BB51" s="163"/>
      <c r="BD51" s="472"/>
      <c r="BE51" s="469"/>
      <c r="BF51" s="469"/>
      <c r="BG51" s="469"/>
      <c r="BH51" s="469"/>
      <c r="BI51" s="469"/>
      <c r="BJ51" s="469"/>
      <c r="BK51" s="469"/>
      <c r="BL51" s="469"/>
      <c r="BM51" s="469"/>
      <c r="BN51" s="469"/>
      <c r="BO51" s="469"/>
      <c r="BP51" s="469"/>
      <c r="BQ51" s="469"/>
      <c r="BR51" s="469"/>
    </row>
    <row r="52" spans="1:70" x14ac:dyDescent="0.3">
      <c r="A52" s="495"/>
      <c r="B52" s="6"/>
      <c r="C52" s="517"/>
      <c r="D52" s="518"/>
      <c r="E52" s="519"/>
      <c r="F52" s="163"/>
      <c r="G52" s="473">
        <v>9</v>
      </c>
      <c r="I52" s="507" t="str">
        <f>Benefits!E16</f>
        <v>Customer Charges/ Fixed Charges</v>
      </c>
      <c r="J52" t="s">
        <v>7</v>
      </c>
      <c r="K52" s="483">
        <f t="shared" si="8"/>
        <v>0</v>
      </c>
      <c r="L52" s="434">
        <v>0</v>
      </c>
      <c r="M52" s="508" cm="1">
        <f t="array" ref="M52">IF(M$40&gt;2060,0,INDEX(revenueMatrixNew,($E$16-1)*40+$G52+2,M$40-2024))*(M$39&lt;=$E$28)</f>
        <v>0</v>
      </c>
      <c r="N52" s="508" cm="1">
        <f t="array" ref="N52">IF(N$40&gt;2060,0,INDEX(revenueMatrixNew,($E$16-1)*40+$G52+2,N$40-2024))*(N$39&lt;=$E$28)</f>
        <v>0</v>
      </c>
      <c r="O52" s="508" cm="1">
        <f t="array" ref="O52">IF(O$40&gt;2060,0,INDEX(revenueMatrixNew,($E$16-1)*40+$G52+2,O$40-2024))*(O$39&lt;=$E$28)</f>
        <v>0</v>
      </c>
      <c r="P52" s="508" cm="1">
        <f t="array" ref="P52">IF(P$40&gt;2060,0,INDEX(revenueMatrixNew,($E$16-1)*40+$G52+2,P$40-2024))*(P$39&lt;=$E$28)</f>
        <v>0</v>
      </c>
      <c r="Q52" s="508" cm="1">
        <f t="array" ref="Q52">IF(Q$40&gt;2060,0,INDEX(revenueMatrixNew,($E$16-1)*40+$G52+2,Q$40-2024))*(Q$39&lt;=$E$28)</f>
        <v>0</v>
      </c>
      <c r="R52" s="508" cm="1">
        <f t="array" ref="R52">IF(R$40&gt;2060,0,INDEX(revenueMatrixNew,($E$16-1)*40+$G52+2,R$40-2024))*(R$39&lt;=$E$28)</f>
        <v>0</v>
      </c>
      <c r="S52" s="508" cm="1">
        <f t="array" ref="S52">IF(S$40&gt;2060,0,INDEX(revenueMatrixNew,($E$16-1)*40+$G52+2,S$40-2024))*(S$39&lt;=$E$28)</f>
        <v>0</v>
      </c>
      <c r="T52" s="508" cm="1">
        <f t="array" ref="T52">IF(T$40&gt;2060,0,INDEX(revenueMatrixNew,($E$16-1)*40+$G52+2,T$40-2024))*(T$39&lt;=$E$28)</f>
        <v>0</v>
      </c>
      <c r="U52" s="508" cm="1">
        <f t="array" ref="U52">IF(U$40&gt;2060,0,INDEX(revenueMatrixNew,($E$16-1)*40+$G52+2,U$40-2024))*(U$39&lt;=$E$28)</f>
        <v>0</v>
      </c>
      <c r="V52" s="508" cm="1">
        <f t="array" ref="V52">IF(V$40&gt;2060,0,INDEX(revenueMatrixNew,($E$16-1)*40+$G52+2,V$40-2024))*(V$39&lt;=$E$28)</f>
        <v>0</v>
      </c>
      <c r="W52" s="508" cm="1">
        <f t="array" ref="W52">IF(W$40&gt;2060,0,INDEX(revenueMatrixNew,($E$16-1)*40+$G52+2,W$40-2024))*(W$39&lt;=$E$28)</f>
        <v>0</v>
      </c>
      <c r="X52" s="508" cm="1">
        <f t="array" ref="X52">IF(X$40&gt;2060,0,INDEX(revenueMatrixNew,($E$16-1)*40+$G52+2,X$40-2024))*(X$39&lt;=$E$28)</f>
        <v>0</v>
      </c>
      <c r="Y52" s="508" cm="1">
        <f t="array" ref="Y52">IF(Y$40&gt;2060,0,INDEX(revenueMatrixNew,($E$16-1)*40+$G52+2,Y$40-2024))*(Y$39&lt;=$E$28)</f>
        <v>0</v>
      </c>
      <c r="Z52" s="508" cm="1">
        <f t="array" ref="Z52">IF(Z$40&gt;2060,0,INDEX(revenueMatrixNew,($E$16-1)*40+$G52+2,Z$40-2024))*(Z$39&lt;=$E$28)</f>
        <v>0</v>
      </c>
      <c r="AA52" s="508" cm="1">
        <f t="array" ref="AA52">IF(AA$40&gt;2060,0,INDEX(revenueMatrixNew,($E$16-1)*40+$G52+2,AA$40-2024))*(AA$39&lt;=$E$28)</f>
        <v>0</v>
      </c>
      <c r="AB52" s="508" cm="1">
        <f t="array" ref="AB52">IF(AB$40&gt;2060,0,INDEX(revenueMatrixNew,($E$16-1)*40+$G52+2,AB$40-2024))*(AB$39&lt;=$E$28)</f>
        <v>0</v>
      </c>
      <c r="AC52" s="508" cm="1">
        <f t="array" ref="AC52">IF(AC$40&gt;2060,0,INDEX(revenueMatrixNew,($E$16-1)*40+$G52+2,AC$40-2024))*(AC$39&lt;=$E$28)</f>
        <v>0</v>
      </c>
      <c r="AD52" s="508" cm="1">
        <f t="array" ref="AD52">IF(AD$40&gt;2060,0,INDEX(revenueMatrixNew,($E$16-1)*40+$G52+2,AD$40-2024))*(AD$39&lt;=$E$28)</f>
        <v>0</v>
      </c>
      <c r="AE52" s="508" cm="1">
        <f t="array" ref="AE52">IF(AE$40&gt;2060,0,INDEX(revenueMatrixNew,($E$16-1)*40+$G52+2,AE$40-2024))*(AE$39&lt;=$E$28)</f>
        <v>0</v>
      </c>
      <c r="AF52" s="508" cm="1">
        <f t="array" ref="AF52">IF(AF$40&gt;2060,0,INDEX(revenueMatrixNew,($E$16-1)*40+$G52+2,AF$40-2024))*(AF$39&lt;=$E$28)</f>
        <v>0</v>
      </c>
      <c r="AG52" s="508" cm="1">
        <f t="array" ref="AG52">IF(AG$40&gt;2060,0,INDEX(revenueMatrixNew,($E$16-1)*40+$G52+2,AG$40-2024))*(AG$39&lt;=$E$28)</f>
        <v>0</v>
      </c>
      <c r="AH52" s="508" cm="1">
        <f t="array" ref="AH52">IF(AH$40&gt;2060,0,INDEX(revenueMatrixNew,($E$16-1)*40+$G52+2,AH$40-2024))*(AH$39&lt;=$E$28)</f>
        <v>0</v>
      </c>
      <c r="AI52" s="508" cm="1">
        <f t="array" ref="AI52">IF(AI$40&gt;2060,0,INDEX(revenueMatrixNew,($E$16-1)*40+$G52+2,AI$40-2024))*(AI$39&lt;=$E$28)</f>
        <v>0</v>
      </c>
      <c r="AJ52" s="508" cm="1">
        <f t="array" ref="AJ52">IF(AJ$40&gt;2060,0,INDEX(revenueMatrixNew,($E$16-1)*40+$G52+2,AJ$40-2024))*(AJ$39&lt;=$E$28)</f>
        <v>0</v>
      </c>
      <c r="AK52" s="508" cm="1">
        <f t="array" ref="AK52">IF(AK$40&gt;2060,0,INDEX(revenueMatrixNew,($E$16-1)*40+$G52+2,AK$40-2024))*(AK$39&lt;=$E$28)</f>
        <v>0</v>
      </c>
      <c r="AL52" s="508" cm="1">
        <f t="array" ref="AL52">IF(AL$40&gt;2060,0,INDEX(revenueMatrixNew,($E$16-1)*40+$G52+2,AL$40-2024))*(AL$39&lt;=$E$28)</f>
        <v>0</v>
      </c>
      <c r="AM52" s="508" cm="1">
        <f t="array" ref="AM52">IF(AM$40&gt;2060,0,INDEX(revenueMatrixNew,($E$16-1)*40+$G52+2,AM$40-2024))*(AM$39&lt;=$E$28)</f>
        <v>0</v>
      </c>
      <c r="AN52" s="508" cm="1">
        <f t="array" ref="AN52">IF(AN$40&gt;2060,0,INDEX(revenueMatrixNew,($E$16-1)*40+$G52+2,AN$40-2024))*(AN$39&lt;=$E$28)</f>
        <v>0</v>
      </c>
      <c r="AO52" s="508" cm="1">
        <f t="array" ref="AO52">IF(AO$40&gt;2060,0,INDEX(revenueMatrixNew,($E$16-1)*40+$G52+2,AO$40-2024))*(AO$39&lt;=$E$28)</f>
        <v>0</v>
      </c>
      <c r="AP52" s="508" cm="1">
        <f t="array" ref="AP52">IF(AP$40&gt;2060,0,INDEX(revenueMatrixNew,($E$16-1)*40+$G52+2,AP$40-2024))*(AP$39&lt;=$E$28)</f>
        <v>0</v>
      </c>
      <c r="AQ52" s="508" cm="1">
        <f t="array" ref="AQ52">IF(AQ$40&gt;2060,0,INDEX(revenueMatrixNew,($E$16-1)*40+$G52+2,AQ$40-2024))*(AQ$39&lt;=$E$28)</f>
        <v>0</v>
      </c>
      <c r="AR52" s="508" cm="1">
        <f t="array" ref="AR52">IF(AR$40&gt;2060,0,INDEX(revenueMatrixNew,($E$16-1)*40+$G52+2,AR$40-2024))*(AR$39&lt;=$E$28)</f>
        <v>0</v>
      </c>
      <c r="AS52" s="508" cm="1">
        <f t="array" ref="AS52">IF(AS$40&gt;2060,0,INDEX(revenueMatrixNew,($E$16-1)*40+$G52+2,AS$40-2024))*(AS$39&lt;=$E$28)</f>
        <v>0</v>
      </c>
      <c r="AT52" s="508" cm="1">
        <f t="array" ref="AT52">IF(AT$40&gt;2060,0,INDEX(revenueMatrixNew,($E$16-1)*40+$G52+2,AT$40-2024))*(AT$39&lt;=$E$28)</f>
        <v>0</v>
      </c>
      <c r="AU52" s="508" cm="1">
        <f t="array" ref="AU52">IF(AU$40&gt;2060,0,INDEX(revenueMatrixNew,($E$16-1)*40+$G52+2,AU$40-2024))*(AU$39&lt;=$E$28)</f>
        <v>0</v>
      </c>
      <c r="AV52" s="508" cm="1">
        <f t="array" ref="AV52">IF(AV$40&gt;2060,0,INDEX(revenueMatrixNew,($E$16-1)*40+$G52+2,AV$40-2024))*(AV$39&lt;=$E$28)</f>
        <v>0</v>
      </c>
      <c r="AW52" s="508" cm="1">
        <f t="array" ref="AW52">IF(AW$40&gt;2060,0,INDEX(revenueMatrixNew,($E$16-1)*40+$G52+2,AW$40-2024))*(AW$39&lt;=$E$28)</f>
        <v>0</v>
      </c>
      <c r="AX52" s="508" cm="1">
        <f t="array" ref="AX52">IF(AX$40&gt;2060,0,INDEX(revenueMatrixNew,($E$16-1)*40+$G52+2,AX$40-2024))*(AX$39&lt;=$E$28)</f>
        <v>0</v>
      </c>
      <c r="AY52" s="508" cm="1">
        <f t="array" ref="AY52">IF(AY$40&gt;2060,0,INDEX(revenueMatrixNew,($E$16-1)*40+$G52+2,AY$40-2024))*(AY$39&lt;=$E$28)</f>
        <v>0</v>
      </c>
      <c r="AZ52" s="508" cm="1">
        <f t="array" ref="AZ52">IF(AZ$40&gt;2060,0,INDEX(revenueMatrixNew,($E$16-1)*40+$G52+2,AZ$40-2024))*(AZ$39&lt;=$E$28)</f>
        <v>0</v>
      </c>
      <c r="BB52" s="163"/>
      <c r="BD52" s="472"/>
      <c r="BE52" s="469"/>
      <c r="BF52" s="469"/>
      <c r="BG52" s="469"/>
      <c r="BH52" s="469"/>
      <c r="BI52" s="469"/>
      <c r="BJ52" s="469"/>
      <c r="BK52" s="469"/>
      <c r="BL52" s="469"/>
      <c r="BM52" s="469"/>
      <c r="BN52" s="469"/>
      <c r="BO52" s="469"/>
      <c r="BP52" s="469"/>
      <c r="BQ52" s="469"/>
      <c r="BR52" s="469"/>
    </row>
    <row r="53" spans="1:70" x14ac:dyDescent="0.3">
      <c r="A53" s="511"/>
      <c r="C53" s="520"/>
      <c r="D53" s="479"/>
      <c r="E53" s="521"/>
      <c r="F53" s="163"/>
      <c r="G53" s="473">
        <v>10</v>
      </c>
      <c r="I53" s="522" t="str">
        <f>Benefits!E17</f>
        <v>Energy Savings</v>
      </c>
      <c r="J53" t="s">
        <v>7</v>
      </c>
      <c r="K53" s="483">
        <f t="shared" si="8"/>
        <v>2369.1988680097766</v>
      </c>
      <c r="L53" s="434">
        <v>0</v>
      </c>
      <c r="M53" s="508" cm="1">
        <f t="array" ref="M53">IF(M$40&gt;2060,0,INDEX(revenueMatrixNew,($E$16-1)*40+$G53+2,M$40-2024))*(M$39&lt;=$E$28)</f>
        <v>319.28756479459946</v>
      </c>
      <c r="N53" s="508" cm="1">
        <f t="array" ref="N53">IF(N$40&gt;2060,0,INDEX(revenueMatrixNew,($E$16-1)*40+$G53+2,N$40-2024))*(N$39&lt;=$E$28)</f>
        <v>296.09913291968599</v>
      </c>
      <c r="O53" s="508" cm="1">
        <f t="array" ref="O53">IF(O$40&gt;2060,0,INDEX(revenueMatrixNew,($E$16-1)*40+$G53+2,O$40-2024))*(O$39&lt;=$E$28)</f>
        <v>317.96640465024109</v>
      </c>
      <c r="P53" s="508" cm="1">
        <f t="array" ref="P53">IF(P$40&gt;2060,0,INDEX(revenueMatrixNew,($E$16-1)*40+$G53+2,P$40-2024))*(P$39&lt;=$E$28)</f>
        <v>338.68187496330421</v>
      </c>
      <c r="Q53" s="508" cm="1">
        <f t="array" ref="Q53">IF(Q$40&gt;2060,0,INDEX(revenueMatrixNew,($E$16-1)*40+$G53+2,Q$40-2024))*(Q$39&lt;=$E$28)</f>
        <v>346.02476334262559</v>
      </c>
      <c r="R53" s="508" cm="1">
        <f t="array" ref="R53">IF(R$40&gt;2060,0,INDEX(revenueMatrixNew,($E$16-1)*40+$G53+2,R$40-2024))*(R$39&lt;=$E$28)</f>
        <v>352.54044767348444</v>
      </c>
      <c r="S53" s="508" cm="1">
        <f t="array" ref="S53">IF(S$40&gt;2060,0,INDEX(revenueMatrixNew,($E$16-1)*40+$G53+2,S$40-2024))*(S$39&lt;=$E$28)</f>
        <v>359.05613200434328</v>
      </c>
      <c r="T53" s="508" cm="1">
        <f t="array" ref="T53">IF(T$40&gt;2060,0,INDEX(revenueMatrixNew,($E$16-1)*40+$G53+2,T$40-2024))*(T$39&lt;=$E$28)</f>
        <v>365.57181633520213</v>
      </c>
      <c r="U53" s="508" cm="1">
        <f t="array" ref="U53">IF(U$40&gt;2060,0,INDEX(revenueMatrixNew,($E$16-1)*40+$G53+2,U$40-2024))*(U$39&lt;=$E$28)</f>
        <v>372.08750066606098</v>
      </c>
      <c r="V53" s="508" cm="1">
        <f t="array" ref="V53">IF(V$40&gt;2060,0,INDEX(revenueMatrixNew,($E$16-1)*40+$G53+2,V$40-2024))*(V$39&lt;=$E$28)</f>
        <v>378.60318499691988</v>
      </c>
      <c r="W53" s="508" cm="1">
        <f t="array" ref="W53">IF(W$40&gt;2060,0,INDEX(revenueMatrixNew,($E$16-1)*40+$G53+2,W$40-2024))*(W$39&lt;=$E$28)</f>
        <v>400.48421245641009</v>
      </c>
      <c r="X53" s="508" cm="1">
        <f t="array" ref="X53">IF(X$40&gt;2060,0,INDEX(revenueMatrixNew,($E$16-1)*40+$G53+2,X$40-2024))*(X$39&lt;=$E$28)</f>
        <v>422.3652399159003</v>
      </c>
      <c r="Y53" s="508" cm="1">
        <f t="array" ref="Y53">IF(Y$40&gt;2060,0,INDEX(revenueMatrixNew,($E$16-1)*40+$G53+2,Y$40-2024))*(Y$39&lt;=$E$28)</f>
        <v>444.24626737539052</v>
      </c>
      <c r="Z53" s="508" cm="1">
        <f t="array" ref="Z53">IF(Z$40&gt;2060,0,INDEX(revenueMatrixNew,($E$16-1)*40+$G53+2,Z$40-2024))*(Z$39&lt;=$E$28)</f>
        <v>466.12729483488073</v>
      </c>
      <c r="AA53" s="508" cm="1">
        <f t="array" ref="AA53">IF(AA$40&gt;2060,0,INDEX(revenueMatrixNew,($E$16-1)*40+$G53+2,AA$40-2024))*(AA$39&lt;=$E$28)</f>
        <v>488.00832229437106</v>
      </c>
      <c r="AB53" s="508" cm="1">
        <f t="array" ref="AB53">IF(AB$40&gt;2060,0,INDEX(revenueMatrixNew,($E$16-1)*40+$G53+2,AB$40-2024))*(AB$39&lt;=$E$28)</f>
        <v>501.72759071026144</v>
      </c>
      <c r="AC53" s="508" cm="1">
        <f t="array" ref="AC53">IF(AC$40&gt;2060,0,INDEX(revenueMatrixNew,($E$16-1)*40+$G53+2,AC$40-2024))*(AC$39&lt;=$E$28)</f>
        <v>515.44685912615182</v>
      </c>
      <c r="AD53" s="508" cm="1">
        <f t="array" ref="AD53">IF(AD$40&gt;2060,0,INDEX(revenueMatrixNew,($E$16-1)*40+$G53+2,AD$40-2024))*(AD$39&lt;=$E$28)</f>
        <v>529.1661275420422</v>
      </c>
      <c r="AE53" s="508" cm="1">
        <f t="array" ref="AE53">IF(AE$40&gt;2060,0,INDEX(revenueMatrixNew,($E$16-1)*40+$G53+2,AE$40-2024))*(AE$39&lt;=$E$28)</f>
        <v>542.88539595793259</v>
      </c>
      <c r="AF53" s="508" cm="1">
        <f t="array" ref="AF53">IF(AF$40&gt;2060,0,INDEX(revenueMatrixNew,($E$16-1)*40+$G53+2,AF$40-2024))*(AF$39&lt;=$E$28)</f>
        <v>556.60466437382297</v>
      </c>
      <c r="AG53" s="508" cm="1">
        <f t="array" ref="AG53">IF(AG$40&gt;2060,0,INDEX(revenueMatrixNew,($E$16-1)*40+$G53+2,AG$40-2024))*(AG$39&lt;=$E$28)</f>
        <v>0</v>
      </c>
      <c r="AH53" s="508" cm="1">
        <f t="array" ref="AH53">IF(AH$40&gt;2060,0,INDEX(revenueMatrixNew,($E$16-1)*40+$G53+2,AH$40-2024))*(AH$39&lt;=$E$28)</f>
        <v>0</v>
      </c>
      <c r="AI53" s="508" cm="1">
        <f t="array" ref="AI53">IF(AI$40&gt;2060,0,INDEX(revenueMatrixNew,($E$16-1)*40+$G53+2,AI$40-2024))*(AI$39&lt;=$E$28)</f>
        <v>0</v>
      </c>
      <c r="AJ53" s="508" cm="1">
        <f t="array" ref="AJ53">IF(AJ$40&gt;2060,0,INDEX(revenueMatrixNew,($E$16-1)*40+$G53+2,AJ$40-2024))*(AJ$39&lt;=$E$28)</f>
        <v>0</v>
      </c>
      <c r="AK53" s="508" cm="1">
        <f t="array" ref="AK53">IF(AK$40&gt;2060,0,INDEX(revenueMatrixNew,($E$16-1)*40+$G53+2,AK$40-2024))*(AK$39&lt;=$E$28)</f>
        <v>0</v>
      </c>
      <c r="AL53" s="508" cm="1">
        <f t="array" ref="AL53">IF(AL$40&gt;2060,0,INDEX(revenueMatrixNew,($E$16-1)*40+$G53+2,AL$40-2024))*(AL$39&lt;=$E$28)</f>
        <v>0</v>
      </c>
      <c r="AM53" s="508" cm="1">
        <f t="array" ref="AM53">IF(AM$40&gt;2060,0,INDEX(revenueMatrixNew,($E$16-1)*40+$G53+2,AM$40-2024))*(AM$39&lt;=$E$28)</f>
        <v>0</v>
      </c>
      <c r="AN53" s="508" cm="1">
        <f t="array" ref="AN53">IF(AN$40&gt;2060,0,INDEX(revenueMatrixNew,($E$16-1)*40+$G53+2,AN$40-2024))*(AN$39&lt;=$E$28)</f>
        <v>0</v>
      </c>
      <c r="AO53" s="508" cm="1">
        <f t="array" ref="AO53">IF(AO$40&gt;2060,0,INDEX(revenueMatrixNew,($E$16-1)*40+$G53+2,AO$40-2024))*(AO$39&lt;=$E$28)</f>
        <v>0</v>
      </c>
      <c r="AP53" s="508" cm="1">
        <f t="array" ref="AP53">IF(AP$40&gt;2060,0,INDEX(revenueMatrixNew,($E$16-1)*40+$G53+2,AP$40-2024))*(AP$39&lt;=$E$28)</f>
        <v>0</v>
      </c>
      <c r="AQ53" s="508" cm="1">
        <f t="array" ref="AQ53">IF(AQ$40&gt;2060,0,INDEX(revenueMatrixNew,($E$16-1)*40+$G53+2,AQ$40-2024))*(AQ$39&lt;=$E$28)</f>
        <v>0</v>
      </c>
      <c r="AR53" s="508" cm="1">
        <f t="array" ref="AR53">IF(AR$40&gt;2060,0,INDEX(revenueMatrixNew,($E$16-1)*40+$G53+2,AR$40-2024))*(AR$39&lt;=$E$28)</f>
        <v>0</v>
      </c>
      <c r="AS53" s="508" cm="1">
        <f t="array" ref="AS53">IF(AS$40&gt;2060,0,INDEX(revenueMatrixNew,($E$16-1)*40+$G53+2,AS$40-2024))*(AS$39&lt;=$E$28)</f>
        <v>0</v>
      </c>
      <c r="AT53" s="508" cm="1">
        <f t="array" ref="AT53">IF(AT$40&gt;2060,0,INDEX(revenueMatrixNew,($E$16-1)*40+$G53+2,AT$40-2024))*(AT$39&lt;=$E$28)</f>
        <v>0</v>
      </c>
      <c r="AU53" s="508" cm="1">
        <f t="array" ref="AU53">IF(AU$40&gt;2060,0,INDEX(revenueMatrixNew,($E$16-1)*40+$G53+2,AU$40-2024))*(AU$39&lt;=$E$28)</f>
        <v>0</v>
      </c>
      <c r="AV53" s="508" cm="1">
        <f t="array" ref="AV53">IF(AV$40&gt;2060,0,INDEX(revenueMatrixNew,($E$16-1)*40+$G53+2,AV$40-2024))*(AV$39&lt;=$E$28)</f>
        <v>0</v>
      </c>
      <c r="AW53" s="508" cm="1">
        <f t="array" ref="AW53">IF(AW$40&gt;2060,0,INDEX(revenueMatrixNew,($E$16-1)*40+$G53+2,AW$40-2024))*(AW$39&lt;=$E$28)</f>
        <v>0</v>
      </c>
      <c r="AX53" s="508" cm="1">
        <f t="array" ref="AX53">IF(AX$40&gt;2060,0,INDEX(revenueMatrixNew,($E$16-1)*40+$G53+2,AX$40-2024))*(AX$39&lt;=$E$28)</f>
        <v>0</v>
      </c>
      <c r="AY53" s="508" cm="1">
        <f t="array" ref="AY53">IF(AY$40&gt;2060,0,INDEX(revenueMatrixNew,($E$16-1)*40+$G53+2,AY$40-2024))*(AY$39&lt;=$E$28)</f>
        <v>0</v>
      </c>
      <c r="AZ53" s="508" cm="1">
        <f t="array" ref="AZ53">IF(AZ$40&gt;2060,0,INDEX(revenueMatrixNew,($E$16-1)*40+$G53+2,AZ$40-2024))*(AZ$39&lt;=$E$28)</f>
        <v>0</v>
      </c>
      <c r="BB53" s="163"/>
      <c r="BD53" s="472"/>
      <c r="BE53" s="469"/>
      <c r="BF53" s="469"/>
      <c r="BG53" s="469"/>
      <c r="BH53" s="469"/>
      <c r="BI53" s="469"/>
      <c r="BJ53" s="469"/>
      <c r="BK53" s="469"/>
      <c r="BL53" s="469"/>
      <c r="BM53" s="469"/>
      <c r="BN53" s="469"/>
      <c r="BO53" s="469"/>
      <c r="BP53" s="469"/>
      <c r="BQ53" s="469"/>
      <c r="BR53" s="469"/>
    </row>
    <row r="54" spans="1:70" x14ac:dyDescent="0.3">
      <c r="A54" s="511"/>
      <c r="C54" s="523" t="s">
        <v>77</v>
      </c>
      <c r="D54" s="485"/>
      <c r="E54" s="524"/>
      <c r="F54" s="163"/>
      <c r="G54" s="473">
        <v>11</v>
      </c>
      <c r="I54" s="522" t="str">
        <f>Benefits!E18</f>
        <v xml:space="preserve">Demand Savings </v>
      </c>
      <c r="J54" t="s">
        <v>7</v>
      </c>
      <c r="K54" s="483">
        <f t="shared" si="8"/>
        <v>0</v>
      </c>
      <c r="L54" s="434">
        <v>0</v>
      </c>
      <c r="M54" s="508" cm="1">
        <f t="array" ref="M54">IF(M$40&gt;2060,0,INDEX(revenueMatrixNew,($E$16-1)*40+$G54+2,M$40-2024))*(M$39&lt;=$E$28)</f>
        <v>0</v>
      </c>
      <c r="N54" s="508" cm="1">
        <f t="array" ref="N54">IF(N$40&gt;2060,0,INDEX(revenueMatrixNew,($E$16-1)*40+$G54+2,N$40-2024))*(N$39&lt;=$E$28)</f>
        <v>0</v>
      </c>
      <c r="O54" s="508" cm="1">
        <f t="array" ref="O54">IF(O$40&gt;2060,0,INDEX(revenueMatrixNew,($E$16-1)*40+$G54+2,O$40-2024))*(O$39&lt;=$E$28)</f>
        <v>0</v>
      </c>
      <c r="P54" s="508" cm="1">
        <f t="array" ref="P54">IF(P$40&gt;2060,0,INDEX(revenueMatrixNew,($E$16-1)*40+$G54+2,P$40-2024))*(P$39&lt;=$E$28)</f>
        <v>0</v>
      </c>
      <c r="Q54" s="508" cm="1">
        <f t="array" ref="Q54">IF(Q$40&gt;2060,0,INDEX(revenueMatrixNew,($E$16-1)*40+$G54+2,Q$40-2024))*(Q$39&lt;=$E$28)</f>
        <v>0</v>
      </c>
      <c r="R54" s="508" cm="1">
        <f t="array" ref="R54">IF(R$40&gt;2060,0,INDEX(revenueMatrixNew,($E$16-1)*40+$G54+2,R$40-2024))*(R$39&lt;=$E$28)</f>
        <v>0</v>
      </c>
      <c r="S54" s="508" cm="1">
        <f t="array" ref="S54">IF(S$40&gt;2060,0,INDEX(revenueMatrixNew,($E$16-1)*40+$G54+2,S$40-2024))*(S$39&lt;=$E$28)</f>
        <v>0</v>
      </c>
      <c r="T54" s="508" cm="1">
        <f t="array" ref="T54">IF(T$40&gt;2060,0,INDEX(revenueMatrixNew,($E$16-1)*40+$G54+2,T$40-2024))*(T$39&lt;=$E$28)</f>
        <v>0</v>
      </c>
      <c r="U54" s="508" cm="1">
        <f t="array" ref="U54">IF(U$40&gt;2060,0,INDEX(revenueMatrixNew,($E$16-1)*40+$G54+2,U$40-2024))*(U$39&lt;=$E$28)</f>
        <v>0</v>
      </c>
      <c r="V54" s="508" cm="1">
        <f t="array" ref="V54">IF(V$40&gt;2060,0,INDEX(revenueMatrixNew,($E$16-1)*40+$G54+2,V$40-2024))*(V$39&lt;=$E$28)</f>
        <v>0</v>
      </c>
      <c r="W54" s="508" cm="1">
        <f t="array" ref="W54">IF(W$40&gt;2060,0,INDEX(revenueMatrixNew,($E$16-1)*40+$G54+2,W$40-2024))*(W$39&lt;=$E$28)</f>
        <v>0</v>
      </c>
      <c r="X54" s="508" cm="1">
        <f t="array" ref="X54">IF(X$40&gt;2060,0,INDEX(revenueMatrixNew,($E$16-1)*40+$G54+2,X$40-2024))*(X$39&lt;=$E$28)</f>
        <v>0</v>
      </c>
      <c r="Y54" s="508" cm="1">
        <f t="array" ref="Y54">IF(Y$40&gt;2060,0,INDEX(revenueMatrixNew,($E$16-1)*40+$G54+2,Y$40-2024))*(Y$39&lt;=$E$28)</f>
        <v>0</v>
      </c>
      <c r="Z54" s="508" cm="1">
        <f t="array" ref="Z54">IF(Z$40&gt;2060,0,INDEX(revenueMatrixNew,($E$16-1)*40+$G54+2,Z$40-2024))*(Z$39&lt;=$E$28)</f>
        <v>0</v>
      </c>
      <c r="AA54" s="508" cm="1">
        <f t="array" ref="AA54">IF(AA$40&gt;2060,0,INDEX(revenueMatrixNew,($E$16-1)*40+$G54+2,AA$40-2024))*(AA$39&lt;=$E$28)</f>
        <v>0</v>
      </c>
      <c r="AB54" s="508" cm="1">
        <f t="array" ref="AB54">IF(AB$40&gt;2060,0,INDEX(revenueMatrixNew,($E$16-1)*40+$G54+2,AB$40-2024))*(AB$39&lt;=$E$28)</f>
        <v>0</v>
      </c>
      <c r="AC54" s="508" cm="1">
        <f t="array" ref="AC54">IF(AC$40&gt;2060,0,INDEX(revenueMatrixNew,($E$16-1)*40+$G54+2,AC$40-2024))*(AC$39&lt;=$E$28)</f>
        <v>0</v>
      </c>
      <c r="AD54" s="508" cm="1">
        <f t="array" ref="AD54">IF(AD$40&gt;2060,0,INDEX(revenueMatrixNew,($E$16-1)*40+$G54+2,AD$40-2024))*(AD$39&lt;=$E$28)</f>
        <v>0</v>
      </c>
      <c r="AE54" s="508" cm="1">
        <f t="array" ref="AE54">IF(AE$40&gt;2060,0,INDEX(revenueMatrixNew,($E$16-1)*40+$G54+2,AE$40-2024))*(AE$39&lt;=$E$28)</f>
        <v>0</v>
      </c>
      <c r="AF54" s="508" cm="1">
        <f t="array" ref="AF54">IF(AF$40&gt;2060,0,INDEX(revenueMatrixNew,($E$16-1)*40+$G54+2,AF$40-2024))*(AF$39&lt;=$E$28)</f>
        <v>0</v>
      </c>
      <c r="AG54" s="508" cm="1">
        <f t="array" ref="AG54">IF(AG$40&gt;2060,0,INDEX(revenueMatrixNew,($E$16-1)*40+$G54+2,AG$40-2024))*(AG$39&lt;=$E$28)</f>
        <v>0</v>
      </c>
      <c r="AH54" s="508" cm="1">
        <f t="array" ref="AH54">IF(AH$40&gt;2060,0,INDEX(revenueMatrixNew,($E$16-1)*40+$G54+2,AH$40-2024))*(AH$39&lt;=$E$28)</f>
        <v>0</v>
      </c>
      <c r="AI54" s="508" cm="1">
        <f t="array" ref="AI54">IF(AI$40&gt;2060,0,INDEX(revenueMatrixNew,($E$16-1)*40+$G54+2,AI$40-2024))*(AI$39&lt;=$E$28)</f>
        <v>0</v>
      </c>
      <c r="AJ54" s="508" cm="1">
        <f t="array" ref="AJ54">IF(AJ$40&gt;2060,0,INDEX(revenueMatrixNew,($E$16-1)*40+$G54+2,AJ$40-2024))*(AJ$39&lt;=$E$28)</f>
        <v>0</v>
      </c>
      <c r="AK54" s="508" cm="1">
        <f t="array" ref="AK54">IF(AK$40&gt;2060,0,INDEX(revenueMatrixNew,($E$16-1)*40+$G54+2,AK$40-2024))*(AK$39&lt;=$E$28)</f>
        <v>0</v>
      </c>
      <c r="AL54" s="508" cm="1">
        <f t="array" ref="AL54">IF(AL$40&gt;2060,0,INDEX(revenueMatrixNew,($E$16-1)*40+$G54+2,AL$40-2024))*(AL$39&lt;=$E$28)</f>
        <v>0</v>
      </c>
      <c r="AM54" s="508" cm="1">
        <f t="array" ref="AM54">IF(AM$40&gt;2060,0,INDEX(revenueMatrixNew,($E$16-1)*40+$G54+2,AM$40-2024))*(AM$39&lt;=$E$28)</f>
        <v>0</v>
      </c>
      <c r="AN54" s="508" cm="1">
        <f t="array" ref="AN54">IF(AN$40&gt;2060,0,INDEX(revenueMatrixNew,($E$16-1)*40+$G54+2,AN$40-2024))*(AN$39&lt;=$E$28)</f>
        <v>0</v>
      </c>
      <c r="AO54" s="508" cm="1">
        <f t="array" ref="AO54">IF(AO$40&gt;2060,0,INDEX(revenueMatrixNew,($E$16-1)*40+$G54+2,AO$40-2024))*(AO$39&lt;=$E$28)</f>
        <v>0</v>
      </c>
      <c r="AP54" s="508" cm="1">
        <f t="array" ref="AP54">IF(AP$40&gt;2060,0,INDEX(revenueMatrixNew,($E$16-1)*40+$G54+2,AP$40-2024))*(AP$39&lt;=$E$28)</f>
        <v>0</v>
      </c>
      <c r="AQ54" s="508" cm="1">
        <f t="array" ref="AQ54">IF(AQ$40&gt;2060,0,INDEX(revenueMatrixNew,($E$16-1)*40+$G54+2,AQ$40-2024))*(AQ$39&lt;=$E$28)</f>
        <v>0</v>
      </c>
      <c r="AR54" s="508" cm="1">
        <f t="array" ref="AR54">IF(AR$40&gt;2060,0,INDEX(revenueMatrixNew,($E$16-1)*40+$G54+2,AR$40-2024))*(AR$39&lt;=$E$28)</f>
        <v>0</v>
      </c>
      <c r="AS54" s="508" cm="1">
        <f t="array" ref="AS54">IF(AS$40&gt;2060,0,INDEX(revenueMatrixNew,($E$16-1)*40+$G54+2,AS$40-2024))*(AS$39&lt;=$E$28)</f>
        <v>0</v>
      </c>
      <c r="AT54" s="508" cm="1">
        <f t="array" ref="AT54">IF(AT$40&gt;2060,0,INDEX(revenueMatrixNew,($E$16-1)*40+$G54+2,AT$40-2024))*(AT$39&lt;=$E$28)</f>
        <v>0</v>
      </c>
      <c r="AU54" s="508" cm="1">
        <f t="array" ref="AU54">IF(AU$40&gt;2060,0,INDEX(revenueMatrixNew,($E$16-1)*40+$G54+2,AU$40-2024))*(AU$39&lt;=$E$28)</f>
        <v>0</v>
      </c>
      <c r="AV54" s="508" cm="1">
        <f t="array" ref="AV54">IF(AV$40&gt;2060,0,INDEX(revenueMatrixNew,($E$16-1)*40+$G54+2,AV$40-2024))*(AV$39&lt;=$E$28)</f>
        <v>0</v>
      </c>
      <c r="AW54" s="508" cm="1">
        <f t="array" ref="AW54">IF(AW$40&gt;2060,0,INDEX(revenueMatrixNew,($E$16-1)*40+$G54+2,AW$40-2024))*(AW$39&lt;=$E$28)</f>
        <v>0</v>
      </c>
      <c r="AX54" s="508" cm="1">
        <f t="array" ref="AX54">IF(AX$40&gt;2060,0,INDEX(revenueMatrixNew,($E$16-1)*40+$G54+2,AX$40-2024))*(AX$39&lt;=$E$28)</f>
        <v>0</v>
      </c>
      <c r="AY54" s="508" cm="1">
        <f t="array" ref="AY54">IF(AY$40&gt;2060,0,INDEX(revenueMatrixNew,($E$16-1)*40+$G54+2,AY$40-2024))*(AY$39&lt;=$E$28)</f>
        <v>0</v>
      </c>
      <c r="AZ54" s="508" cm="1">
        <f t="array" ref="AZ54">IF(AZ$40&gt;2060,0,INDEX(revenueMatrixNew,($E$16-1)*40+$G54+2,AZ$40-2024))*(AZ$39&lt;=$E$28)</f>
        <v>0</v>
      </c>
      <c r="BB54" s="163"/>
      <c r="BD54" s="472"/>
      <c r="BE54" s="469"/>
      <c r="BF54" s="469"/>
      <c r="BG54" s="469"/>
      <c r="BH54" s="469"/>
      <c r="BI54" s="469"/>
      <c r="BJ54" s="469"/>
      <c r="BK54" s="469"/>
      <c r="BL54" s="469"/>
      <c r="BM54" s="469"/>
      <c r="BN54" s="469"/>
      <c r="BO54" s="469"/>
      <c r="BP54" s="469"/>
      <c r="BQ54" s="469"/>
      <c r="BR54" s="469"/>
    </row>
    <row r="55" spans="1:70" x14ac:dyDescent="0.3">
      <c r="A55" s="511"/>
      <c r="B55" s="6">
        <v>41</v>
      </c>
      <c r="C55" s="487" t="s">
        <v>78</v>
      </c>
      <c r="D55" s="479" t="s">
        <v>9</v>
      </c>
      <c r="E55" s="204" cm="1">
        <f t="array" ref="E55">INDEX(InputsMatrix,$E$16,$B55)</f>
        <v>0</v>
      </c>
      <c r="F55" s="163"/>
      <c r="G55" s="473">
        <v>12</v>
      </c>
      <c r="I55" s="525" t="str">
        <f>Benefits!E19</f>
        <v>Energy Generation - Export</v>
      </c>
      <c r="J55" t="s">
        <v>7</v>
      </c>
      <c r="K55" s="483">
        <f t="shared" si="8"/>
        <v>0</v>
      </c>
      <c r="L55" s="434">
        <v>0</v>
      </c>
      <c r="M55" s="508" cm="1">
        <f t="array" ref="M55">IF(M$40&gt;2060,0,INDEX(revenueMatrixNew,($E$16-1)*40+$G55+2,M$40-2024))*(M$39&lt;=$E$28)*IF($E$26="Y",1,0)</f>
        <v>0</v>
      </c>
      <c r="N55" s="508" cm="1">
        <f t="array" ref="N55">IF(N$40&gt;2060,0,INDEX(revenueMatrixNew,($E$16-1)*40+$G55+2,N$40-2024))*(N$39&lt;=$E$28)*IF($E$26="Y",1,0)</f>
        <v>0</v>
      </c>
      <c r="O55" s="508" cm="1">
        <f t="array" ref="O55">IF(O$40&gt;2060,0,INDEX(revenueMatrixNew,($E$16-1)*40+$G55+2,O$40-2024))*(O$39&lt;=$E$28)*IF($E$26="Y",1,0)</f>
        <v>0</v>
      </c>
      <c r="P55" s="508" cm="1">
        <f t="array" ref="P55">IF(P$40&gt;2060,0,INDEX(revenueMatrixNew,($E$16-1)*40+$G55+2,P$40-2024))*(P$39&lt;=$E$28)*IF($E$26="Y",1,0)</f>
        <v>0</v>
      </c>
      <c r="Q55" s="508" cm="1">
        <f t="array" ref="Q55">IF(Q$40&gt;2060,0,INDEX(revenueMatrixNew,($E$16-1)*40+$G55+2,Q$40-2024))*(Q$39&lt;=$E$28)*IF($E$26="Y",1,0)</f>
        <v>0</v>
      </c>
      <c r="R55" s="508" cm="1">
        <f t="array" ref="R55">IF(R$40&gt;2060,0,INDEX(revenueMatrixNew,($E$16-1)*40+$G55+2,R$40-2024))*(R$39&lt;=$E$28)*IF($E$26="Y",1,0)</f>
        <v>0</v>
      </c>
      <c r="S55" s="508" cm="1">
        <f t="array" ref="S55">IF(S$40&gt;2060,0,INDEX(revenueMatrixNew,($E$16-1)*40+$G55+2,S$40-2024))*(S$39&lt;=$E$28)*IF($E$26="Y",1,0)</f>
        <v>0</v>
      </c>
      <c r="T55" s="508" cm="1">
        <f t="array" ref="T55">IF(T$40&gt;2060,0,INDEX(revenueMatrixNew,($E$16-1)*40+$G55+2,T$40-2024))*(T$39&lt;=$E$28)*IF($E$26="Y",1,0)</f>
        <v>0</v>
      </c>
      <c r="U55" s="508" cm="1">
        <f t="array" ref="U55">IF(U$40&gt;2060,0,INDEX(revenueMatrixNew,($E$16-1)*40+$G55+2,U$40-2024))*(U$39&lt;=$E$28)*IF($E$26="Y",1,0)</f>
        <v>0</v>
      </c>
      <c r="V55" s="508" cm="1">
        <f t="array" ref="V55">IF(V$40&gt;2060,0,INDEX(revenueMatrixNew,($E$16-1)*40+$G55+2,V$40-2024))*(V$39&lt;=$E$28)*IF($E$26="Y",1,0)</f>
        <v>0</v>
      </c>
      <c r="W55" s="508" cm="1">
        <f t="array" ref="W55">IF(W$40&gt;2060,0,INDEX(revenueMatrixNew,($E$16-1)*40+$G55+2,W$40-2024))*(W$39&lt;=$E$28)*IF($E$26="Y",1,0)</f>
        <v>0</v>
      </c>
      <c r="X55" s="508" cm="1">
        <f t="array" ref="X55">IF(X$40&gt;2060,0,INDEX(revenueMatrixNew,($E$16-1)*40+$G55+2,X$40-2024))*(X$39&lt;=$E$28)*IF($E$26="Y",1,0)</f>
        <v>0</v>
      </c>
      <c r="Y55" s="508" cm="1">
        <f t="array" ref="Y55">IF(Y$40&gt;2060,0,INDEX(revenueMatrixNew,($E$16-1)*40+$G55+2,Y$40-2024))*(Y$39&lt;=$E$28)*IF($E$26="Y",1,0)</f>
        <v>0</v>
      </c>
      <c r="Z55" s="508" cm="1">
        <f t="array" ref="Z55">IF(Z$40&gt;2060,0,INDEX(revenueMatrixNew,($E$16-1)*40+$G55+2,Z$40-2024))*(Z$39&lt;=$E$28)*IF($E$26="Y",1,0)</f>
        <v>0</v>
      </c>
      <c r="AA55" s="508" cm="1">
        <f t="array" ref="AA55">IF(AA$40&gt;2060,0,INDEX(revenueMatrixNew,($E$16-1)*40+$G55+2,AA$40-2024))*(AA$39&lt;=$E$28)*IF($E$26="Y",1,0)</f>
        <v>0</v>
      </c>
      <c r="AB55" s="508" cm="1">
        <f t="array" ref="AB55">IF(AB$40&gt;2060,0,INDEX(revenueMatrixNew,($E$16-1)*40+$G55+2,AB$40-2024))*(AB$39&lt;=$E$28)*IF($E$26="Y",1,0)</f>
        <v>0</v>
      </c>
      <c r="AC55" s="508" cm="1">
        <f t="array" ref="AC55">IF(AC$40&gt;2060,0,INDEX(revenueMatrixNew,($E$16-1)*40+$G55+2,AC$40-2024))*(AC$39&lt;=$E$28)*IF($E$26="Y",1,0)</f>
        <v>0</v>
      </c>
      <c r="AD55" s="508" cm="1">
        <f t="array" ref="AD55">IF(AD$40&gt;2060,0,INDEX(revenueMatrixNew,($E$16-1)*40+$G55+2,AD$40-2024))*(AD$39&lt;=$E$28)*IF($E$26="Y",1,0)</f>
        <v>0</v>
      </c>
      <c r="AE55" s="508" cm="1">
        <f t="array" ref="AE55">IF(AE$40&gt;2060,0,INDEX(revenueMatrixNew,($E$16-1)*40+$G55+2,AE$40-2024))*(AE$39&lt;=$E$28)*IF($E$26="Y",1,0)</f>
        <v>0</v>
      </c>
      <c r="AF55" s="508" cm="1">
        <f t="array" ref="AF55">IF(AF$40&gt;2060,0,INDEX(revenueMatrixNew,($E$16-1)*40+$G55+2,AF$40-2024))*(AF$39&lt;=$E$28)*IF($E$26="Y",1,0)</f>
        <v>0</v>
      </c>
      <c r="AG55" s="508" cm="1">
        <f t="array" ref="AG55">IF(AG$40&gt;2060,0,INDEX(revenueMatrixNew,($E$16-1)*40+$G55+2,AG$40-2024))*(AG$39&lt;=$E$28)*IF($E$26="Y",1,0)</f>
        <v>0</v>
      </c>
      <c r="AH55" s="508" cm="1">
        <f t="array" ref="AH55">IF(AH$40&gt;2060,0,INDEX(revenueMatrixNew,($E$16-1)*40+$G55+2,AH$40-2024))*(AH$39&lt;=$E$28)*IF($E$26="Y",1,0)</f>
        <v>0</v>
      </c>
      <c r="AI55" s="508" cm="1">
        <f t="array" ref="AI55">IF(AI$40&gt;2060,0,INDEX(revenueMatrixNew,($E$16-1)*40+$G55+2,AI$40-2024))*(AI$39&lt;=$E$28)*IF($E$26="Y",1,0)</f>
        <v>0</v>
      </c>
      <c r="AJ55" s="508" cm="1">
        <f t="array" ref="AJ55">IF(AJ$40&gt;2060,0,INDEX(revenueMatrixNew,($E$16-1)*40+$G55+2,AJ$40-2024))*(AJ$39&lt;=$E$28)*IF($E$26="Y",1,0)</f>
        <v>0</v>
      </c>
      <c r="AK55" s="508" cm="1">
        <f t="array" ref="AK55">IF(AK$40&gt;2060,0,INDEX(revenueMatrixNew,($E$16-1)*40+$G55+2,AK$40-2024))*(AK$39&lt;=$E$28)*IF($E$26="Y",1,0)</f>
        <v>0</v>
      </c>
      <c r="AL55" s="508" cm="1">
        <f t="array" ref="AL55">IF(AL$40&gt;2060,0,INDEX(revenueMatrixNew,($E$16-1)*40+$G55+2,AL$40-2024))*(AL$39&lt;=$E$28)*IF($E$26="Y",1,0)</f>
        <v>0</v>
      </c>
      <c r="AM55" s="508" cm="1">
        <f t="array" ref="AM55">IF(AM$40&gt;2060,0,INDEX(revenueMatrixNew,($E$16-1)*40+$G55+2,AM$40-2024))*(AM$39&lt;=$E$28)*IF($E$26="Y",1,0)</f>
        <v>0</v>
      </c>
      <c r="AN55" s="508" cm="1">
        <f t="array" ref="AN55">IF(AN$40&gt;2060,0,INDEX(revenueMatrixNew,($E$16-1)*40+$G55+2,AN$40-2024))*(AN$39&lt;=$E$28)*IF($E$26="Y",1,0)</f>
        <v>0</v>
      </c>
      <c r="AO55" s="508" cm="1">
        <f t="array" ref="AO55">IF(AO$40&gt;2060,0,INDEX(revenueMatrixNew,($E$16-1)*40+$G55+2,AO$40-2024))*(AO$39&lt;=$E$28)*IF($E$26="Y",1,0)</f>
        <v>0</v>
      </c>
      <c r="AP55" s="508" cm="1">
        <f t="array" ref="AP55">IF(AP$40&gt;2060,0,INDEX(revenueMatrixNew,($E$16-1)*40+$G55+2,AP$40-2024))*(AP$39&lt;=$E$28)*IF($E$26="Y",1,0)</f>
        <v>0</v>
      </c>
      <c r="AQ55" s="508" cm="1">
        <f t="array" ref="AQ55">IF(AQ$40&gt;2060,0,INDEX(revenueMatrixNew,($E$16-1)*40+$G55+2,AQ$40-2024))*(AQ$39&lt;=$E$28)*IF($E$26="Y",1,0)</f>
        <v>0</v>
      </c>
      <c r="AR55" s="508" cm="1">
        <f t="array" ref="AR55">IF(AR$40&gt;2060,0,INDEX(revenueMatrixNew,($E$16-1)*40+$G55+2,AR$40-2024))*(AR$39&lt;=$E$28)*IF($E$26="Y",1,0)</f>
        <v>0</v>
      </c>
      <c r="AS55" s="508" cm="1">
        <f t="array" ref="AS55">IF(AS$40&gt;2060,0,INDEX(revenueMatrixNew,($E$16-1)*40+$G55+2,AS$40-2024))*(AS$39&lt;=$E$28)*IF($E$26="Y",1,0)</f>
        <v>0</v>
      </c>
      <c r="AT55" s="508" cm="1">
        <f t="array" ref="AT55">IF(AT$40&gt;2060,0,INDEX(revenueMatrixNew,($E$16-1)*40+$G55+2,AT$40-2024))*(AT$39&lt;=$E$28)*IF($E$26="Y",1,0)</f>
        <v>0</v>
      </c>
      <c r="AU55" s="508" cm="1">
        <f t="array" ref="AU55">IF(AU$40&gt;2060,0,INDEX(revenueMatrixNew,($E$16-1)*40+$G55+2,AU$40-2024))*(AU$39&lt;=$E$28)*IF($E$26="Y",1,0)</f>
        <v>0</v>
      </c>
      <c r="AV55" s="508" cm="1">
        <f t="array" ref="AV55">IF(AV$40&gt;2060,0,INDEX(revenueMatrixNew,($E$16-1)*40+$G55+2,AV$40-2024))*(AV$39&lt;=$E$28)*IF($E$26="Y",1,0)</f>
        <v>0</v>
      </c>
      <c r="AW55" s="508" cm="1">
        <f t="array" ref="AW55">IF(AW$40&gt;2060,0,INDEX(revenueMatrixNew,($E$16-1)*40+$G55+2,AW$40-2024))*(AW$39&lt;=$E$28)*IF($E$26="Y",1,0)</f>
        <v>0</v>
      </c>
      <c r="AX55" s="508" cm="1">
        <f t="array" ref="AX55">IF(AX$40&gt;2060,0,INDEX(revenueMatrixNew,($E$16-1)*40+$G55+2,AX$40-2024))*(AX$39&lt;=$E$28)*IF($E$26="Y",1,0)</f>
        <v>0</v>
      </c>
      <c r="AY55" s="508" cm="1">
        <f t="array" ref="AY55">IF(AY$40&gt;2060,0,INDEX(revenueMatrixNew,($E$16-1)*40+$G55+2,AY$40-2024))*(AY$39&lt;=$E$28)*IF($E$26="Y",1,0)</f>
        <v>0</v>
      </c>
      <c r="AZ55" s="508" cm="1">
        <f t="array" ref="AZ55">IF(AZ$40&gt;2060,0,INDEX(revenueMatrixNew,($E$16-1)*40+$G55+2,AZ$40-2024))*(AZ$39&lt;=$E$28)*IF($E$26="Y",1,0)</f>
        <v>0</v>
      </c>
      <c r="BB55" s="163"/>
      <c r="BD55" s="472"/>
      <c r="BE55" s="469"/>
      <c r="BF55" s="469"/>
      <c r="BG55" s="469"/>
      <c r="BH55" s="469"/>
      <c r="BI55" s="469"/>
      <c r="BJ55" s="469"/>
      <c r="BK55" s="469"/>
      <c r="BL55" s="469"/>
      <c r="BM55" s="469"/>
      <c r="BN55" s="469"/>
      <c r="BO55" s="469"/>
      <c r="BP55" s="469"/>
      <c r="BQ55" s="469"/>
      <c r="BR55" s="469"/>
    </row>
    <row r="56" spans="1:70" x14ac:dyDescent="0.3">
      <c r="A56" s="495"/>
      <c r="B56" s="6"/>
      <c r="C56" s="487" t="s">
        <v>79</v>
      </c>
      <c r="D56" s="479" t="s">
        <v>9</v>
      </c>
      <c r="E56" s="526">
        <f>1-E55</f>
        <v>1</v>
      </c>
      <c r="F56" s="163"/>
      <c r="G56" s="473">
        <v>13</v>
      </c>
      <c r="I56" s="525" t="str">
        <f>Benefits!E20</f>
        <v>Generation Capacity</v>
      </c>
      <c r="J56" t="s">
        <v>7</v>
      </c>
      <c r="K56" s="483">
        <f t="shared" si="8"/>
        <v>2047.1420730986199</v>
      </c>
      <c r="L56" s="434">
        <v>0</v>
      </c>
      <c r="M56" s="508" cm="1">
        <f t="array" ref="M56">IF(M$40&gt;2060,0,INDEX(revenueMatrixNew,($E$16-1)*40+$G56+2,M$40-2024))*(M$39&lt;=$E$28)*IF($E$26="Y",1,0)</f>
        <v>364.57937608314802</v>
      </c>
      <c r="N56" s="508" cm="1">
        <f t="array" ref="N56">IF(N$40&gt;2060,0,INDEX(revenueMatrixNew,($E$16-1)*40+$G56+2,N$40-2024))*(N$39&lt;=$E$28)*IF($E$26="Y",1,0)</f>
        <v>364.57937608314802</v>
      </c>
      <c r="O56" s="508" cm="1">
        <f t="array" ref="O56">IF(O$40&gt;2060,0,INDEX(revenueMatrixNew,($E$16-1)*40+$G56+2,O$40-2024))*(O$39&lt;=$E$28)*IF($E$26="Y",1,0)</f>
        <v>291.6635008665184</v>
      </c>
      <c r="P56" s="508" cm="1">
        <f t="array" ref="P56">IF(P$40&gt;2060,0,INDEX(revenueMatrixNew,($E$16-1)*40+$G56+2,P$40-2024))*(P$39&lt;=$E$28)*IF($E$26="Y",1,0)</f>
        <v>291.6635008665184</v>
      </c>
      <c r="Q56" s="508" cm="1">
        <f t="array" ref="Q56">IF(Q$40&gt;2060,0,INDEX(revenueMatrixNew,($E$16-1)*40+$G56+2,Q$40-2024))*(Q$39&lt;=$E$28)*IF($E$26="Y",1,0)</f>
        <v>291.6635008665184</v>
      </c>
      <c r="R56" s="508" cm="1">
        <f t="array" ref="R56">IF(R$40&gt;2060,0,INDEX(revenueMatrixNew,($E$16-1)*40+$G56+2,R$40-2024))*(R$39&lt;=$E$28)*IF($E$26="Y",1,0)</f>
        <v>291.6635008665184</v>
      </c>
      <c r="S56" s="508" cm="1">
        <f t="array" ref="S56">IF(S$40&gt;2060,0,INDEX(revenueMatrixNew,($E$16-1)*40+$G56+2,S$40-2024))*(S$39&lt;=$E$28)*IF($E$26="Y",1,0)</f>
        <v>291.6635008665184</v>
      </c>
      <c r="T56" s="508" cm="1">
        <f t="array" ref="T56">IF(T$40&gt;2060,0,INDEX(revenueMatrixNew,($E$16-1)*40+$G56+2,T$40-2024))*(T$39&lt;=$E$28)*IF($E$26="Y",1,0)</f>
        <v>291.6635008665184</v>
      </c>
      <c r="U56" s="508" cm="1">
        <f t="array" ref="U56">IF(U$40&gt;2060,0,INDEX(revenueMatrixNew,($E$16-1)*40+$G56+2,U$40-2024))*(U$39&lt;=$E$28)*IF($E$26="Y",1,0)</f>
        <v>291.6635008665184</v>
      </c>
      <c r="V56" s="508" cm="1">
        <f t="array" ref="V56">IF(V$40&gt;2060,0,INDEX(revenueMatrixNew,($E$16-1)*40+$G56+2,V$40-2024))*(V$39&lt;=$E$28)*IF($E$26="Y",1,0)</f>
        <v>291.6635008665184</v>
      </c>
      <c r="W56" s="508" cm="1">
        <f t="array" ref="W56">IF(W$40&gt;2060,0,INDEX(revenueMatrixNew,($E$16-1)*40+$G56+2,W$40-2024))*(W$39&lt;=$E$28)*IF($E$26="Y",1,0)</f>
        <v>300.36661668606462</v>
      </c>
      <c r="X56" s="508" cm="1">
        <f t="array" ref="X56">IF(X$40&gt;2060,0,INDEX(revenueMatrixNew,($E$16-1)*40+$G56+2,X$40-2024))*(X$39&lt;=$E$28)*IF($E$26="Y",1,0)</f>
        <v>309.06973250561083</v>
      </c>
      <c r="Y56" s="508" cm="1">
        <f t="array" ref="Y56">IF(Y$40&gt;2060,0,INDEX(revenueMatrixNew,($E$16-1)*40+$G56+2,Y$40-2024))*(Y$39&lt;=$E$28)*IF($E$26="Y",1,0)</f>
        <v>317.77284832515704</v>
      </c>
      <c r="Z56" s="508" cm="1">
        <f t="array" ref="Z56">IF(Z$40&gt;2060,0,INDEX(revenueMatrixNew,($E$16-1)*40+$G56+2,Z$40-2024))*(Z$39&lt;=$E$28)*IF($E$26="Y",1,0)</f>
        <v>326.47596414470325</v>
      </c>
      <c r="AA56" s="508" cm="1">
        <f t="array" ref="AA56">IF(AA$40&gt;2060,0,INDEX(revenueMatrixNew,($E$16-1)*40+$G56+2,AA$40-2024))*(AA$39&lt;=$E$28)*IF($E$26="Y",1,0)</f>
        <v>335.17907996424947</v>
      </c>
      <c r="AB56" s="508" cm="1">
        <f t="array" ref="AB56">IF(AB$40&gt;2060,0,INDEX(revenueMatrixNew,($E$16-1)*40+$G56+2,AB$40-2024))*(AB$39&lt;=$E$28)*IF($E$26="Y",1,0)</f>
        <v>344.50751859096465</v>
      </c>
      <c r="AC56" s="508" cm="1">
        <f t="array" ref="AC56">IF(AC$40&gt;2060,0,INDEX(revenueMatrixNew,($E$16-1)*40+$G56+2,AC$40-2024))*(AC$39&lt;=$E$28)*IF($E$26="Y",1,0)</f>
        <v>353.83595721767983</v>
      </c>
      <c r="AD56" s="508" cm="1">
        <f t="array" ref="AD56">IF(AD$40&gt;2060,0,INDEX(revenueMatrixNew,($E$16-1)*40+$G56+2,AD$40-2024))*(AD$39&lt;=$E$28)*IF($E$26="Y",1,0)</f>
        <v>363.16439584439507</v>
      </c>
      <c r="AE56" s="508" cm="1">
        <f t="array" ref="AE56">IF(AE$40&gt;2060,0,INDEX(revenueMatrixNew,($E$16-1)*40+$G56+2,AE$40-2024))*(AE$39&lt;=$E$28)*IF($E$26="Y",1,0)</f>
        <v>372.49283447111026</v>
      </c>
      <c r="AF56" s="508" cm="1">
        <f t="array" ref="AF56">IF(AF$40&gt;2060,0,INDEX(revenueMatrixNew,($E$16-1)*40+$G56+2,AF$40-2024))*(AF$39&lt;=$E$28)*IF($E$26="Y",1,0)</f>
        <v>381.82127309782544</v>
      </c>
      <c r="AG56" s="508" cm="1">
        <f t="array" ref="AG56">IF(AG$40&gt;2060,0,INDEX(revenueMatrixNew,($E$16-1)*40+$G56+2,AG$40-2024))*(AG$39&lt;=$E$28)*IF($E$26="Y",1,0)</f>
        <v>0</v>
      </c>
      <c r="AH56" s="508" cm="1">
        <f t="array" ref="AH56">IF(AH$40&gt;2060,0,INDEX(revenueMatrixNew,($E$16-1)*40+$G56+2,AH$40-2024))*(AH$39&lt;=$E$28)*IF($E$26="Y",1,0)</f>
        <v>0</v>
      </c>
      <c r="AI56" s="508" cm="1">
        <f t="array" ref="AI56">IF(AI$40&gt;2060,0,INDEX(revenueMatrixNew,($E$16-1)*40+$G56+2,AI$40-2024))*(AI$39&lt;=$E$28)*IF($E$26="Y",1,0)</f>
        <v>0</v>
      </c>
      <c r="AJ56" s="508" cm="1">
        <f t="array" ref="AJ56">IF(AJ$40&gt;2060,0,INDEX(revenueMatrixNew,($E$16-1)*40+$G56+2,AJ$40-2024))*(AJ$39&lt;=$E$28)*IF($E$26="Y",1,0)</f>
        <v>0</v>
      </c>
      <c r="AK56" s="508" cm="1">
        <f t="array" ref="AK56">IF(AK$40&gt;2060,0,INDEX(revenueMatrixNew,($E$16-1)*40+$G56+2,AK$40-2024))*(AK$39&lt;=$E$28)*IF($E$26="Y",1,0)</f>
        <v>0</v>
      </c>
      <c r="AL56" s="508" cm="1">
        <f t="array" ref="AL56">IF(AL$40&gt;2060,0,INDEX(revenueMatrixNew,($E$16-1)*40+$G56+2,AL$40-2024))*(AL$39&lt;=$E$28)*IF($E$26="Y",1,0)</f>
        <v>0</v>
      </c>
      <c r="AM56" s="508" cm="1">
        <f t="array" ref="AM56">IF(AM$40&gt;2060,0,INDEX(revenueMatrixNew,($E$16-1)*40+$G56+2,AM$40-2024))*(AM$39&lt;=$E$28)*IF($E$26="Y",1,0)</f>
        <v>0</v>
      </c>
      <c r="AN56" s="508" cm="1">
        <f t="array" ref="AN56">IF(AN$40&gt;2060,0,INDEX(revenueMatrixNew,($E$16-1)*40+$G56+2,AN$40-2024))*(AN$39&lt;=$E$28)*IF($E$26="Y",1,0)</f>
        <v>0</v>
      </c>
      <c r="AO56" s="508" cm="1">
        <f t="array" ref="AO56">IF(AO$40&gt;2060,0,INDEX(revenueMatrixNew,($E$16-1)*40+$G56+2,AO$40-2024))*(AO$39&lt;=$E$28)*IF($E$26="Y",1,0)</f>
        <v>0</v>
      </c>
      <c r="AP56" s="508" cm="1">
        <f t="array" ref="AP56">IF(AP$40&gt;2060,0,INDEX(revenueMatrixNew,($E$16-1)*40+$G56+2,AP$40-2024))*(AP$39&lt;=$E$28)*IF($E$26="Y",1,0)</f>
        <v>0</v>
      </c>
      <c r="AQ56" s="508" cm="1">
        <f t="array" ref="AQ56">IF(AQ$40&gt;2060,0,INDEX(revenueMatrixNew,($E$16-1)*40+$G56+2,AQ$40-2024))*(AQ$39&lt;=$E$28)*IF($E$26="Y",1,0)</f>
        <v>0</v>
      </c>
      <c r="AR56" s="508" cm="1">
        <f t="array" ref="AR56">IF(AR$40&gt;2060,0,INDEX(revenueMatrixNew,($E$16-1)*40+$G56+2,AR$40-2024))*(AR$39&lt;=$E$28)*IF($E$26="Y",1,0)</f>
        <v>0</v>
      </c>
      <c r="AS56" s="508" cm="1">
        <f t="array" ref="AS56">IF(AS$40&gt;2060,0,INDEX(revenueMatrixNew,($E$16-1)*40+$G56+2,AS$40-2024))*(AS$39&lt;=$E$28)*IF($E$26="Y",1,0)</f>
        <v>0</v>
      </c>
      <c r="AT56" s="508" cm="1">
        <f t="array" ref="AT56">IF(AT$40&gt;2060,0,INDEX(revenueMatrixNew,($E$16-1)*40+$G56+2,AT$40-2024))*(AT$39&lt;=$E$28)*IF($E$26="Y",1,0)</f>
        <v>0</v>
      </c>
      <c r="AU56" s="508" cm="1">
        <f t="array" ref="AU56">IF(AU$40&gt;2060,0,INDEX(revenueMatrixNew,($E$16-1)*40+$G56+2,AU$40-2024))*(AU$39&lt;=$E$28)*IF($E$26="Y",1,0)</f>
        <v>0</v>
      </c>
      <c r="AV56" s="508" cm="1">
        <f t="array" ref="AV56">IF(AV$40&gt;2060,0,INDEX(revenueMatrixNew,($E$16-1)*40+$G56+2,AV$40-2024))*(AV$39&lt;=$E$28)*IF($E$26="Y",1,0)</f>
        <v>0</v>
      </c>
      <c r="AW56" s="508" cm="1">
        <f t="array" ref="AW56">IF(AW$40&gt;2060,0,INDEX(revenueMatrixNew,($E$16-1)*40+$G56+2,AW$40-2024))*(AW$39&lt;=$E$28)*IF($E$26="Y",1,0)</f>
        <v>0</v>
      </c>
      <c r="AX56" s="508" cm="1">
        <f t="array" ref="AX56">IF(AX$40&gt;2060,0,INDEX(revenueMatrixNew,($E$16-1)*40+$G56+2,AX$40-2024))*(AX$39&lt;=$E$28)*IF($E$26="Y",1,0)</f>
        <v>0</v>
      </c>
      <c r="AY56" s="508" cm="1">
        <f t="array" ref="AY56">IF(AY$40&gt;2060,0,INDEX(revenueMatrixNew,($E$16-1)*40+$G56+2,AY$40-2024))*(AY$39&lt;=$E$28)*IF($E$26="Y",1,0)</f>
        <v>0</v>
      </c>
      <c r="AZ56" s="508" cm="1">
        <f t="array" ref="AZ56">IF(AZ$40&gt;2060,0,INDEX(revenueMatrixNew,($E$16-1)*40+$G56+2,AZ$40-2024))*(AZ$39&lt;=$E$28)*IF($E$26="Y",1,0)</f>
        <v>0</v>
      </c>
      <c r="BB56" s="163"/>
      <c r="BD56" s="472"/>
      <c r="BE56" s="469"/>
      <c r="BF56" s="469"/>
      <c r="BG56" s="469"/>
      <c r="BH56" s="469"/>
      <c r="BI56" s="469"/>
      <c r="BJ56" s="469"/>
      <c r="BK56" s="469"/>
      <c r="BL56" s="469"/>
      <c r="BM56" s="469"/>
      <c r="BN56" s="469"/>
      <c r="BO56" s="469"/>
      <c r="BP56" s="469"/>
      <c r="BQ56" s="469"/>
      <c r="BR56" s="469"/>
    </row>
    <row r="57" spans="1:70" x14ac:dyDescent="0.3">
      <c r="A57" s="495"/>
      <c r="B57" s="6"/>
      <c r="C57" s="493" t="s">
        <v>81</v>
      </c>
      <c r="D57" s="479" t="s">
        <v>7</v>
      </c>
      <c r="E57" s="527">
        <f>E55*E46</f>
        <v>0</v>
      </c>
      <c r="F57" s="163"/>
      <c r="G57" s="473">
        <v>14</v>
      </c>
      <c r="I57" s="525" t="str">
        <f>Benefits!E21</f>
        <v>Transmission Capacity</v>
      </c>
      <c r="J57" t="s">
        <v>7</v>
      </c>
      <c r="K57" s="483">
        <f t="shared" si="8"/>
        <v>678.10729452072349</v>
      </c>
      <c r="L57" s="434">
        <v>0</v>
      </c>
      <c r="M57" s="508" cm="1">
        <f t="array" ref="M57">IF(M$40&gt;2060,0,INDEX(revenueMatrixNew,($E$16-1)*40+$G57+2,M$40-2024))*(M$39&lt;=$E$28)*IF($E$26="Y",1,0)</f>
        <v>122.16203886869096</v>
      </c>
      <c r="N57" s="508" cm="1">
        <f t="array" ref="N57">IF(N$40&gt;2060,0,INDEX(revenueMatrixNew,($E$16-1)*40+$G57+2,N$40-2024))*(N$39&lt;=$E$28)*IF($E$26="Y",1,0)</f>
        <v>122.16203886869096</v>
      </c>
      <c r="O57" s="508" cm="1">
        <f t="array" ref="O57">IF(O$40&gt;2060,0,INDEX(revenueMatrixNew,($E$16-1)*40+$G57+2,O$40-2024))*(O$39&lt;=$E$28)*IF($E$26="Y",1,0)</f>
        <v>97.729631094952751</v>
      </c>
      <c r="P57" s="508" cm="1">
        <f t="array" ref="P57">IF(P$40&gt;2060,0,INDEX(revenueMatrixNew,($E$16-1)*40+$G57+2,P$40-2024))*(P$39&lt;=$E$28)*IF($E$26="Y",1,0)</f>
        <v>97.729631094952751</v>
      </c>
      <c r="Q57" s="508" cm="1">
        <f t="array" ref="Q57">IF(Q$40&gt;2060,0,INDEX(revenueMatrixNew,($E$16-1)*40+$G57+2,Q$40-2024))*(Q$39&lt;=$E$28)*IF($E$26="Y",1,0)</f>
        <v>97.729631094952751</v>
      </c>
      <c r="R57" s="508" cm="1">
        <f t="array" ref="R57">IF(R$40&gt;2060,0,INDEX(revenueMatrixNew,($E$16-1)*40+$G57+2,R$40-2024))*(R$39&lt;=$E$28)*IF($E$26="Y",1,0)</f>
        <v>97.729631094952751</v>
      </c>
      <c r="S57" s="508" cm="1">
        <f t="array" ref="S57">IF(S$40&gt;2060,0,INDEX(revenueMatrixNew,($E$16-1)*40+$G57+2,S$40-2024))*(S$39&lt;=$E$28)*IF($E$26="Y",1,0)</f>
        <v>97.729631094952751</v>
      </c>
      <c r="T57" s="508" cm="1">
        <f t="array" ref="T57">IF(T$40&gt;2060,0,INDEX(revenueMatrixNew,($E$16-1)*40+$G57+2,T$40-2024))*(T$39&lt;=$E$28)*IF($E$26="Y",1,0)</f>
        <v>97.729631094952751</v>
      </c>
      <c r="U57" s="508" cm="1">
        <f t="array" ref="U57">IF(U$40&gt;2060,0,INDEX(revenueMatrixNew,($E$16-1)*40+$G57+2,U$40-2024))*(U$39&lt;=$E$28)*IF($E$26="Y",1,0)</f>
        <v>97.729631094952751</v>
      </c>
      <c r="V57" s="508" cm="1">
        <f t="array" ref="V57">IF(V$40&gt;2060,0,INDEX(revenueMatrixNew,($E$16-1)*40+$G57+2,V$40-2024))*(V$39&lt;=$E$28)*IF($E$26="Y",1,0)</f>
        <v>97.729631094952751</v>
      </c>
      <c r="W57" s="508" cm="1">
        <f t="array" ref="W57">IF(W$40&gt;2060,0,INDEX(revenueMatrixNew,($E$16-1)*40+$G57+2,W$40-2024))*(W$39&lt;=$E$28)*IF($E$26="Y",1,0)</f>
        <v>99.247468734139431</v>
      </c>
      <c r="X57" s="508" cm="1">
        <f t="array" ref="X57">IF(X$40&gt;2060,0,INDEX(revenueMatrixNew,($E$16-1)*40+$G57+2,X$40-2024))*(X$39&lt;=$E$28)*IF($E$26="Y",1,0)</f>
        <v>100.7653063733261</v>
      </c>
      <c r="Y57" s="508" cm="1">
        <f t="array" ref="Y57">IF(Y$40&gt;2060,0,INDEX(revenueMatrixNew,($E$16-1)*40+$G57+2,Y$40-2024))*(Y$39&lt;=$E$28)*IF($E$26="Y",1,0)</f>
        <v>102.28314401251278</v>
      </c>
      <c r="Z57" s="508" cm="1">
        <f t="array" ref="Z57">IF(Z$40&gt;2060,0,INDEX(revenueMatrixNew,($E$16-1)*40+$G57+2,Z$40-2024))*(Z$39&lt;=$E$28)*IF($E$26="Y",1,0)</f>
        <v>103.80098165169944</v>
      </c>
      <c r="AA57" s="508" cm="1">
        <f t="array" ref="AA57">IF(AA$40&gt;2060,0,INDEX(revenueMatrixNew,($E$16-1)*40+$G57+2,AA$40-2024))*(AA$39&lt;=$E$28)*IF($E$26="Y",1,0)</f>
        <v>105.31881929088613</v>
      </c>
      <c r="AB57" s="508" cm="1">
        <f t="array" ref="AB57">IF(AB$40&gt;2060,0,INDEX(revenueMatrixNew,($E$16-1)*40+$G57+2,AB$40-2024))*(AB$39&lt;=$E$28)*IF($E$26="Y",1,0)</f>
        <v>108.24996923645531</v>
      </c>
      <c r="AC57" s="508" cm="1">
        <f t="array" ref="AC57">IF(AC$40&gt;2060,0,INDEX(revenueMatrixNew,($E$16-1)*40+$G57+2,AC$40-2024))*(AC$39&lt;=$E$28)*IF($E$26="Y",1,0)</f>
        <v>111.1811191820245</v>
      </c>
      <c r="AD57" s="508" cm="1">
        <f t="array" ref="AD57">IF(AD$40&gt;2060,0,INDEX(revenueMatrixNew,($E$16-1)*40+$G57+2,AD$40-2024))*(AD$39&lt;=$E$28)*IF($E$26="Y",1,0)</f>
        <v>114.11226912759369</v>
      </c>
      <c r="AE57" s="508" cm="1">
        <f t="array" ref="AE57">IF(AE$40&gt;2060,0,INDEX(revenueMatrixNew,($E$16-1)*40+$G57+2,AE$40-2024))*(AE$39&lt;=$E$28)*IF($E$26="Y",1,0)</f>
        <v>117.04341907316287</v>
      </c>
      <c r="AF57" s="508" cm="1">
        <f t="array" ref="AF57">IF(AF$40&gt;2060,0,INDEX(revenueMatrixNew,($E$16-1)*40+$G57+2,AF$40-2024))*(AF$39&lt;=$E$28)*IF($E$26="Y",1,0)</f>
        <v>119.97456901873205</v>
      </c>
      <c r="AG57" s="508" cm="1">
        <f t="array" ref="AG57">IF(AG$40&gt;2060,0,INDEX(revenueMatrixNew,($E$16-1)*40+$G57+2,AG$40-2024))*(AG$39&lt;=$E$28)*IF($E$26="Y",1,0)</f>
        <v>0</v>
      </c>
      <c r="AH57" s="508" cm="1">
        <f t="array" ref="AH57">IF(AH$40&gt;2060,0,INDEX(revenueMatrixNew,($E$16-1)*40+$G57+2,AH$40-2024))*(AH$39&lt;=$E$28)*IF($E$26="Y",1,0)</f>
        <v>0</v>
      </c>
      <c r="AI57" s="508" cm="1">
        <f t="array" ref="AI57">IF(AI$40&gt;2060,0,INDEX(revenueMatrixNew,($E$16-1)*40+$G57+2,AI$40-2024))*(AI$39&lt;=$E$28)*IF($E$26="Y",1,0)</f>
        <v>0</v>
      </c>
      <c r="AJ57" s="508" cm="1">
        <f t="array" ref="AJ57">IF(AJ$40&gt;2060,0,INDEX(revenueMatrixNew,($E$16-1)*40+$G57+2,AJ$40-2024))*(AJ$39&lt;=$E$28)*IF($E$26="Y",1,0)</f>
        <v>0</v>
      </c>
      <c r="AK57" s="508" cm="1">
        <f t="array" ref="AK57">IF(AK$40&gt;2060,0,INDEX(revenueMatrixNew,($E$16-1)*40+$G57+2,AK$40-2024))*(AK$39&lt;=$E$28)*IF($E$26="Y",1,0)</f>
        <v>0</v>
      </c>
      <c r="AL57" s="508" cm="1">
        <f t="array" ref="AL57">IF(AL$40&gt;2060,0,INDEX(revenueMatrixNew,($E$16-1)*40+$G57+2,AL$40-2024))*(AL$39&lt;=$E$28)*IF($E$26="Y",1,0)</f>
        <v>0</v>
      </c>
      <c r="AM57" s="508" cm="1">
        <f t="array" ref="AM57">IF(AM$40&gt;2060,0,INDEX(revenueMatrixNew,($E$16-1)*40+$G57+2,AM$40-2024))*(AM$39&lt;=$E$28)*IF($E$26="Y",1,0)</f>
        <v>0</v>
      </c>
      <c r="AN57" s="508" cm="1">
        <f t="array" ref="AN57">IF(AN$40&gt;2060,0,INDEX(revenueMatrixNew,($E$16-1)*40+$G57+2,AN$40-2024))*(AN$39&lt;=$E$28)*IF($E$26="Y",1,0)</f>
        <v>0</v>
      </c>
      <c r="AO57" s="508" cm="1">
        <f t="array" ref="AO57">IF(AO$40&gt;2060,0,INDEX(revenueMatrixNew,($E$16-1)*40+$G57+2,AO$40-2024))*(AO$39&lt;=$E$28)*IF($E$26="Y",1,0)</f>
        <v>0</v>
      </c>
      <c r="AP57" s="508" cm="1">
        <f t="array" ref="AP57">IF(AP$40&gt;2060,0,INDEX(revenueMatrixNew,($E$16-1)*40+$G57+2,AP$40-2024))*(AP$39&lt;=$E$28)*IF($E$26="Y",1,0)</f>
        <v>0</v>
      </c>
      <c r="AQ57" s="508" cm="1">
        <f t="array" ref="AQ57">IF(AQ$40&gt;2060,0,INDEX(revenueMatrixNew,($E$16-1)*40+$G57+2,AQ$40-2024))*(AQ$39&lt;=$E$28)*IF($E$26="Y",1,0)</f>
        <v>0</v>
      </c>
      <c r="AR57" s="508" cm="1">
        <f t="array" ref="AR57">IF(AR$40&gt;2060,0,INDEX(revenueMatrixNew,($E$16-1)*40+$G57+2,AR$40-2024))*(AR$39&lt;=$E$28)*IF($E$26="Y",1,0)</f>
        <v>0</v>
      </c>
      <c r="AS57" s="508" cm="1">
        <f t="array" ref="AS57">IF(AS$40&gt;2060,0,INDEX(revenueMatrixNew,($E$16-1)*40+$G57+2,AS$40-2024))*(AS$39&lt;=$E$28)*IF($E$26="Y",1,0)</f>
        <v>0</v>
      </c>
      <c r="AT57" s="508" cm="1">
        <f t="array" ref="AT57">IF(AT$40&gt;2060,0,INDEX(revenueMatrixNew,($E$16-1)*40+$G57+2,AT$40-2024))*(AT$39&lt;=$E$28)*IF($E$26="Y",1,0)</f>
        <v>0</v>
      </c>
      <c r="AU57" s="508" cm="1">
        <f t="array" ref="AU57">IF(AU$40&gt;2060,0,INDEX(revenueMatrixNew,($E$16-1)*40+$G57+2,AU$40-2024))*(AU$39&lt;=$E$28)*IF($E$26="Y",1,0)</f>
        <v>0</v>
      </c>
      <c r="AV57" s="508" cm="1">
        <f t="array" ref="AV57">IF(AV$40&gt;2060,0,INDEX(revenueMatrixNew,($E$16-1)*40+$G57+2,AV$40-2024))*(AV$39&lt;=$E$28)*IF($E$26="Y",1,0)</f>
        <v>0</v>
      </c>
      <c r="AW57" s="508" cm="1">
        <f t="array" ref="AW57">IF(AW$40&gt;2060,0,INDEX(revenueMatrixNew,($E$16-1)*40+$G57+2,AW$40-2024))*(AW$39&lt;=$E$28)*IF($E$26="Y",1,0)</f>
        <v>0</v>
      </c>
      <c r="AX57" s="508" cm="1">
        <f t="array" ref="AX57">IF(AX$40&gt;2060,0,INDEX(revenueMatrixNew,($E$16-1)*40+$G57+2,AX$40-2024))*(AX$39&lt;=$E$28)*IF($E$26="Y",1,0)</f>
        <v>0</v>
      </c>
      <c r="AY57" s="508" cm="1">
        <f t="array" ref="AY57">IF(AY$40&gt;2060,0,INDEX(revenueMatrixNew,($E$16-1)*40+$G57+2,AY$40-2024))*(AY$39&lt;=$E$28)*IF($E$26="Y",1,0)</f>
        <v>0</v>
      </c>
      <c r="AZ57" s="508" cm="1">
        <f t="array" ref="AZ57">IF(AZ$40&gt;2060,0,INDEX(revenueMatrixNew,($E$16-1)*40+$G57+2,AZ$40-2024))*(AZ$39&lt;=$E$28)*IF($E$26="Y",1,0)</f>
        <v>0</v>
      </c>
      <c r="BB57" s="163"/>
      <c r="BD57" s="472"/>
      <c r="BE57" s="469"/>
      <c r="BF57" s="469"/>
      <c r="BG57" s="469"/>
      <c r="BH57" s="469"/>
      <c r="BI57" s="469"/>
      <c r="BJ57" s="469"/>
      <c r="BK57" s="469"/>
      <c r="BL57" s="469"/>
      <c r="BM57" s="469"/>
      <c r="BN57" s="469"/>
      <c r="BO57" s="469"/>
      <c r="BP57" s="469"/>
      <c r="BQ57" s="469"/>
      <c r="BR57" s="469"/>
    </row>
    <row r="58" spans="1:70" x14ac:dyDescent="0.3">
      <c r="A58" s="495"/>
      <c r="C58" s="493" t="s">
        <v>83</v>
      </c>
      <c r="D58" s="479" t="s">
        <v>7</v>
      </c>
      <c r="E58" s="527">
        <f>E56*E46</f>
        <v>14041</v>
      </c>
      <c r="F58" s="163"/>
      <c r="G58" s="473">
        <v>15</v>
      </c>
      <c r="I58" s="525" t="str">
        <f>Benefits!E22</f>
        <v>Distribution Capacity</v>
      </c>
      <c r="J58" t="s">
        <v>7</v>
      </c>
      <c r="K58" s="483">
        <f t="shared" si="8"/>
        <v>165.53483604594669</v>
      </c>
      <c r="L58" s="434">
        <v>0</v>
      </c>
      <c r="M58" s="508" cm="1">
        <f t="array" ref="M58">IF(M$40&gt;2060,0,INDEX(revenueMatrixNew,($E$16-1)*40+$G58+2,M$40-2024))*(M$39&lt;=$E$28)*IF($E$26="Y",1,0)</f>
        <v>30.114704533615988</v>
      </c>
      <c r="N58" s="508" cm="1">
        <f t="array" ref="N58">IF(N$40&gt;2060,0,INDEX(revenueMatrixNew,($E$16-1)*40+$G58+2,N$40-2024))*(N$39&lt;=$E$28)*IF($E$26="Y",1,0)</f>
        <v>30.114704533615992</v>
      </c>
      <c r="O58" s="508" cm="1">
        <f t="array" ref="O58">IF(O$40&gt;2060,0,INDEX(revenueMatrixNew,($E$16-1)*40+$G58+2,O$40-2024))*(O$39&lt;=$E$28)*IF($E$26="Y",1,0)</f>
        <v>23.680641380700092</v>
      </c>
      <c r="P58" s="508" cm="1">
        <f t="array" ref="P58">IF(P$40&gt;2060,0,INDEX(revenueMatrixNew,($E$16-1)*40+$G58+2,P$40-2024))*(P$39&lt;=$E$28)*IF($E$26="Y",1,0)</f>
        <v>24.33843697460842</v>
      </c>
      <c r="Q58" s="508" cm="1">
        <f t="array" ref="Q58">IF(Q$40&gt;2060,0,INDEX(revenueMatrixNew,($E$16-1)*40+$G58+2,Q$40-2024))*(Q$39&lt;=$E$28)*IF($E$26="Y",1,0)</f>
        <v>22.714523474391903</v>
      </c>
      <c r="R58" s="508" cm="1">
        <f t="array" ref="R58">IF(R$40&gt;2060,0,INDEX(revenueMatrixNew,($E$16-1)*40+$G58+2,R$40-2024))*(R$39&lt;=$E$28)*IF($E$26="Y",1,0)</f>
        <v>22.924191945501249</v>
      </c>
      <c r="S58" s="508" cm="1">
        <f t="array" ref="S58">IF(S$40&gt;2060,0,INDEX(revenueMatrixNew,($E$16-1)*40+$G58+2,S$40-2024))*(S$39&lt;=$E$28)*IF($E$26="Y",1,0)</f>
        <v>23.133860416610595</v>
      </c>
      <c r="T58" s="508" cm="1">
        <f t="array" ref="T58">IF(T$40&gt;2060,0,INDEX(revenueMatrixNew,($E$16-1)*40+$G58+2,T$40-2024))*(T$39&lt;=$E$28)*IF($E$26="Y",1,0)</f>
        <v>23.343528887719938</v>
      </c>
      <c r="U58" s="508" cm="1">
        <f t="array" ref="U58">IF(U$40&gt;2060,0,INDEX(revenueMatrixNew,($E$16-1)*40+$G58+2,U$40-2024))*(U$39&lt;=$E$28)*IF($E$26="Y",1,0)</f>
        <v>23.553197358829284</v>
      </c>
      <c r="V58" s="508" cm="1">
        <f t="array" ref="V58">IF(V$40&gt;2060,0,INDEX(revenueMatrixNew,($E$16-1)*40+$G58+2,V$40-2024))*(V$39&lt;=$E$28)*IF($E$26="Y",1,0)</f>
        <v>23.76286582993863</v>
      </c>
      <c r="W58" s="508" cm="1">
        <f t="array" ref="W58">IF(W$40&gt;2060,0,INDEX(revenueMatrixNew,($E$16-1)*40+$G58+2,W$40-2024))*(W$39&lt;=$E$28)*IF($E$26="Y",1,0)</f>
        <v>24.419911914265136</v>
      </c>
      <c r="X58" s="508" cm="1">
        <f t="array" ref="X58">IF(X$40&gt;2060,0,INDEX(revenueMatrixNew,($E$16-1)*40+$G58+2,X$40-2024))*(X$39&lt;=$E$28)*IF($E$26="Y",1,0)</f>
        <v>25.076957998591642</v>
      </c>
      <c r="Y58" s="508" cm="1">
        <f t="array" ref="Y58">IF(Y$40&gt;2060,0,INDEX(revenueMatrixNew,($E$16-1)*40+$G58+2,Y$40-2024))*(Y$39&lt;=$E$28)*IF($E$26="Y",1,0)</f>
        <v>25.734004082918148</v>
      </c>
      <c r="Z58" s="508" cm="1">
        <f t="array" ref="Z58">IF(Z$40&gt;2060,0,INDEX(revenueMatrixNew,($E$16-1)*40+$G58+2,Z$40-2024))*(Z$39&lt;=$E$28)*IF($E$26="Y",1,0)</f>
        <v>26.391050167244654</v>
      </c>
      <c r="AA58" s="508" cm="1">
        <f t="array" ref="AA58">IF(AA$40&gt;2060,0,INDEX(revenueMatrixNew,($E$16-1)*40+$G58+2,AA$40-2024))*(AA$39&lt;=$E$28)*IF($E$26="Y",1,0)</f>
        <v>27.04809625157116</v>
      </c>
      <c r="AB58" s="508" cm="1">
        <f t="array" ref="AB58">IF(AB$40&gt;2060,0,INDEX(revenueMatrixNew,($E$16-1)*40+$G58+2,AB$40-2024))*(AB$39&lt;=$E$28)*IF($E$26="Y",1,0)</f>
        <v>27.464515035499282</v>
      </c>
      <c r="AC58" s="508" cm="1">
        <f t="array" ref="AC58">IF(AC$40&gt;2060,0,INDEX(revenueMatrixNew,($E$16-1)*40+$G58+2,AC$40-2024))*(AC$39&lt;=$E$28)*IF($E$26="Y",1,0)</f>
        <v>27.880933819427408</v>
      </c>
      <c r="AD58" s="508" cm="1">
        <f t="array" ref="AD58">IF(AD$40&gt;2060,0,INDEX(revenueMatrixNew,($E$16-1)*40+$G58+2,AD$40-2024))*(AD$39&lt;=$E$28)*IF($E$26="Y",1,0)</f>
        <v>28.297352603355531</v>
      </c>
      <c r="AE58" s="508" cm="1">
        <f t="array" ref="AE58">IF(AE$40&gt;2060,0,INDEX(revenueMatrixNew,($E$16-1)*40+$G58+2,AE$40-2024))*(AE$39&lt;=$E$28)*IF($E$26="Y",1,0)</f>
        <v>28.713771387283657</v>
      </c>
      <c r="AF58" s="508" cm="1">
        <f t="array" ref="AF58">IF(AF$40&gt;2060,0,INDEX(revenueMatrixNew,($E$16-1)*40+$G58+2,AF$40-2024))*(AF$39&lt;=$E$28)*IF($E$26="Y",1,0)</f>
        <v>29.13019017121178</v>
      </c>
      <c r="AG58" s="508" cm="1">
        <f t="array" ref="AG58">IF(AG$40&gt;2060,0,INDEX(revenueMatrixNew,($E$16-1)*40+$G58+2,AG$40-2024))*(AG$39&lt;=$E$28)*IF($E$26="Y",1,0)</f>
        <v>0</v>
      </c>
      <c r="AH58" s="508" cm="1">
        <f t="array" ref="AH58">IF(AH$40&gt;2060,0,INDEX(revenueMatrixNew,($E$16-1)*40+$G58+2,AH$40-2024))*(AH$39&lt;=$E$28)*IF($E$26="Y",1,0)</f>
        <v>0</v>
      </c>
      <c r="AI58" s="508" cm="1">
        <f t="array" ref="AI58">IF(AI$40&gt;2060,0,INDEX(revenueMatrixNew,($E$16-1)*40+$G58+2,AI$40-2024))*(AI$39&lt;=$E$28)*IF($E$26="Y",1,0)</f>
        <v>0</v>
      </c>
      <c r="AJ58" s="508" cm="1">
        <f t="array" ref="AJ58">IF(AJ$40&gt;2060,0,INDEX(revenueMatrixNew,($E$16-1)*40+$G58+2,AJ$40-2024))*(AJ$39&lt;=$E$28)*IF($E$26="Y",1,0)</f>
        <v>0</v>
      </c>
      <c r="AK58" s="508" cm="1">
        <f t="array" ref="AK58">IF(AK$40&gt;2060,0,INDEX(revenueMatrixNew,($E$16-1)*40+$G58+2,AK$40-2024))*(AK$39&lt;=$E$28)*IF($E$26="Y",1,0)</f>
        <v>0</v>
      </c>
      <c r="AL58" s="508" cm="1">
        <f t="array" ref="AL58">IF(AL$40&gt;2060,0,INDEX(revenueMatrixNew,($E$16-1)*40+$G58+2,AL$40-2024))*(AL$39&lt;=$E$28)*IF($E$26="Y",1,0)</f>
        <v>0</v>
      </c>
      <c r="AM58" s="508" cm="1">
        <f t="array" ref="AM58">IF(AM$40&gt;2060,0,INDEX(revenueMatrixNew,($E$16-1)*40+$G58+2,AM$40-2024))*(AM$39&lt;=$E$28)*IF($E$26="Y",1,0)</f>
        <v>0</v>
      </c>
      <c r="AN58" s="508" cm="1">
        <f t="array" ref="AN58">IF(AN$40&gt;2060,0,INDEX(revenueMatrixNew,($E$16-1)*40+$G58+2,AN$40-2024))*(AN$39&lt;=$E$28)*IF($E$26="Y",1,0)</f>
        <v>0</v>
      </c>
      <c r="AO58" s="508" cm="1">
        <f t="array" ref="AO58">IF(AO$40&gt;2060,0,INDEX(revenueMatrixNew,($E$16-1)*40+$G58+2,AO$40-2024))*(AO$39&lt;=$E$28)*IF($E$26="Y",1,0)</f>
        <v>0</v>
      </c>
      <c r="AP58" s="508" cm="1">
        <f t="array" ref="AP58">IF(AP$40&gt;2060,0,INDEX(revenueMatrixNew,($E$16-1)*40+$G58+2,AP$40-2024))*(AP$39&lt;=$E$28)*IF($E$26="Y",1,0)</f>
        <v>0</v>
      </c>
      <c r="AQ58" s="508" cm="1">
        <f t="array" ref="AQ58">IF(AQ$40&gt;2060,0,INDEX(revenueMatrixNew,($E$16-1)*40+$G58+2,AQ$40-2024))*(AQ$39&lt;=$E$28)*IF($E$26="Y",1,0)</f>
        <v>0</v>
      </c>
      <c r="AR58" s="508" cm="1">
        <f t="array" ref="AR58">IF(AR$40&gt;2060,0,INDEX(revenueMatrixNew,($E$16-1)*40+$G58+2,AR$40-2024))*(AR$39&lt;=$E$28)*IF($E$26="Y",1,0)</f>
        <v>0</v>
      </c>
      <c r="AS58" s="508" cm="1">
        <f t="array" ref="AS58">IF(AS$40&gt;2060,0,INDEX(revenueMatrixNew,($E$16-1)*40+$G58+2,AS$40-2024))*(AS$39&lt;=$E$28)*IF($E$26="Y",1,0)</f>
        <v>0</v>
      </c>
      <c r="AT58" s="508" cm="1">
        <f t="array" ref="AT58">IF(AT$40&gt;2060,0,INDEX(revenueMatrixNew,($E$16-1)*40+$G58+2,AT$40-2024))*(AT$39&lt;=$E$28)*IF($E$26="Y",1,0)</f>
        <v>0</v>
      </c>
      <c r="AU58" s="508" cm="1">
        <f t="array" ref="AU58">IF(AU$40&gt;2060,0,INDEX(revenueMatrixNew,($E$16-1)*40+$G58+2,AU$40-2024))*(AU$39&lt;=$E$28)*IF($E$26="Y",1,0)</f>
        <v>0</v>
      </c>
      <c r="AV58" s="508" cm="1">
        <f t="array" ref="AV58">IF(AV$40&gt;2060,0,INDEX(revenueMatrixNew,($E$16-1)*40+$G58+2,AV$40-2024))*(AV$39&lt;=$E$28)*IF($E$26="Y",1,0)</f>
        <v>0</v>
      </c>
      <c r="AW58" s="508" cm="1">
        <f t="array" ref="AW58">IF(AW$40&gt;2060,0,INDEX(revenueMatrixNew,($E$16-1)*40+$G58+2,AW$40-2024))*(AW$39&lt;=$E$28)*IF($E$26="Y",1,0)</f>
        <v>0</v>
      </c>
      <c r="AX58" s="508" cm="1">
        <f t="array" ref="AX58">IF(AX$40&gt;2060,0,INDEX(revenueMatrixNew,($E$16-1)*40+$G58+2,AX$40-2024))*(AX$39&lt;=$E$28)*IF($E$26="Y",1,0)</f>
        <v>0</v>
      </c>
      <c r="AY58" s="508" cm="1">
        <f t="array" ref="AY58">IF(AY$40&gt;2060,0,INDEX(revenueMatrixNew,($E$16-1)*40+$G58+2,AY$40-2024))*(AY$39&lt;=$E$28)*IF($E$26="Y",1,0)</f>
        <v>0</v>
      </c>
      <c r="AZ58" s="508" cm="1">
        <f t="array" ref="AZ58">IF(AZ$40&gt;2060,0,INDEX(revenueMatrixNew,($E$16-1)*40+$G58+2,AZ$40-2024))*(AZ$39&lt;=$E$28)*IF($E$26="Y",1,0)</f>
        <v>0</v>
      </c>
      <c r="BB58" s="163"/>
      <c r="BD58" s="472"/>
      <c r="BE58" s="469"/>
      <c r="BF58" s="469"/>
      <c r="BG58" s="469"/>
      <c r="BH58" s="469"/>
      <c r="BI58" s="469"/>
      <c r="BJ58" s="469"/>
      <c r="BK58" s="469"/>
      <c r="BL58" s="469"/>
      <c r="BM58" s="469"/>
      <c r="BN58" s="469"/>
      <c r="BO58" s="469"/>
      <c r="BP58" s="469"/>
      <c r="BQ58" s="469"/>
      <c r="BR58" s="469"/>
    </row>
    <row r="59" spans="1:70" x14ac:dyDescent="0.3">
      <c r="A59" s="511"/>
      <c r="B59" s="6">
        <v>45</v>
      </c>
      <c r="C59" s="493" t="s">
        <v>84</v>
      </c>
      <c r="D59" s="528" t="s">
        <v>457</v>
      </c>
      <c r="E59" s="205">
        <f>INDEX(InputsMatrix,$E$16,$B59)</f>
        <v>1</v>
      </c>
      <c r="G59" s="473">
        <v>16</v>
      </c>
      <c r="I59" s="525" t="str">
        <f>Benefits!E23</f>
        <v>GHG Impacts</v>
      </c>
      <c r="J59" t="s">
        <v>7</v>
      </c>
      <c r="K59" s="483">
        <f t="shared" si="8"/>
        <v>1163.2637759587728</v>
      </c>
      <c r="L59" s="434">
        <v>0</v>
      </c>
      <c r="M59" s="508" cm="1">
        <f t="array" ref="M59">IF(M$40&gt;2060,0,INDEX(revenueMatrixNew,($E$16-1)*40+$G59+2,M$40-2024))*(M$39&lt;=$E$28)*IF($E$26="Y",1,0)</f>
        <v>143.47714610799684</v>
      </c>
      <c r="N59" s="508" cm="1">
        <f t="array" ref="N59">IF(N$40&gt;2060,0,INDEX(revenueMatrixNew,($E$16-1)*40+$G59+2,N$40-2024))*(N$39&lt;=$E$28)*IF($E$26="Y",1,0)</f>
        <v>117.46765740705874</v>
      </c>
      <c r="O59" s="508" cm="1">
        <f t="array" ref="O59">IF(O$40&gt;2060,0,INDEX(revenueMatrixNew,($E$16-1)*40+$G59+2,O$40-2024))*(O$39&lt;=$E$28)*IF($E$26="Y",1,0)</f>
        <v>63.005407372540716</v>
      </c>
      <c r="P59" s="508" cm="1">
        <f t="array" ref="P59">IF(P$40&gt;2060,0,INDEX(revenueMatrixNew,($E$16-1)*40+$G59+2,P$40-2024))*(P$39&lt;=$E$28)*IF($E$26="Y",1,0)</f>
        <v>82.481235322387548</v>
      </c>
      <c r="Q59" s="508" cm="1">
        <f t="array" ref="Q59">IF(Q$40&gt;2060,0,INDEX(revenueMatrixNew,($E$16-1)*40+$G59+2,Q$40-2024))*(Q$39&lt;=$E$28)*IF($E$26="Y",1,0)</f>
        <v>112.59345223469656</v>
      </c>
      <c r="R59" s="508" cm="1">
        <f t="array" ref="R59">IF(R$40&gt;2060,0,INDEX(revenueMatrixNew,($E$16-1)*40+$G59+2,R$40-2024))*(R$39&lt;=$E$28)*IF($E$26="Y",1,0)</f>
        <v>138.57086877693831</v>
      </c>
      <c r="S59" s="508" cm="1">
        <f t="array" ref="S59">IF(S$40&gt;2060,0,INDEX(revenueMatrixNew,($E$16-1)*40+$G59+2,S$40-2024))*(S$39&lt;=$E$28)*IF($E$26="Y",1,0)</f>
        <v>164.54828531918008</v>
      </c>
      <c r="T59" s="508" cm="1">
        <f t="array" ref="T59">IF(T$40&gt;2060,0,INDEX(revenueMatrixNew,($E$16-1)*40+$G59+2,T$40-2024))*(T$39&lt;=$E$28)*IF($E$26="Y",1,0)</f>
        <v>190.52570186142185</v>
      </c>
      <c r="U59" s="508" cm="1">
        <f t="array" ref="U59">IF(U$40&gt;2060,0,INDEX(revenueMatrixNew,($E$16-1)*40+$G59+2,U$40-2024))*(U$39&lt;=$E$28)*IF($E$26="Y",1,0)</f>
        <v>216.50311840366359</v>
      </c>
      <c r="V59" s="508" cm="1">
        <f t="array" ref="V59">IF(V$40&gt;2060,0,INDEX(revenueMatrixNew,($E$16-1)*40+$G59+2,V$40-2024))*(V$39&lt;=$E$28)*IF($E$26="Y",1,0)</f>
        <v>242.48053494590533</v>
      </c>
      <c r="W59" s="508" cm="1">
        <f t="array" ref="W59">IF(W$40&gt;2060,0,INDEX(revenueMatrixNew,($E$16-1)*40+$G59+2,W$40-2024))*(W$39&lt;=$E$28)*IF($E$26="Y",1,0)</f>
        <v>261.7236545004256</v>
      </c>
      <c r="X59" s="508" cm="1">
        <f t="array" ref="X59">IF(X$40&gt;2060,0,INDEX(revenueMatrixNew,($E$16-1)*40+$G59+2,X$40-2024))*(X$39&lt;=$E$28)*IF($E$26="Y",1,0)</f>
        <v>280.96677405494586</v>
      </c>
      <c r="Y59" s="508" cm="1">
        <f t="array" ref="Y59">IF(Y$40&gt;2060,0,INDEX(revenueMatrixNew,($E$16-1)*40+$G59+2,Y$40-2024))*(Y$39&lt;=$E$28)*IF($E$26="Y",1,0)</f>
        <v>300.20989360946612</v>
      </c>
      <c r="Z59" s="508" cm="1">
        <f t="array" ref="Z59">IF(Z$40&gt;2060,0,INDEX(revenueMatrixNew,($E$16-1)*40+$G59+2,Z$40-2024))*(Z$39&lt;=$E$28)*IF($E$26="Y",1,0)</f>
        <v>319.45301316398638</v>
      </c>
      <c r="AA59" s="508" cm="1">
        <f t="array" ref="AA59">IF(AA$40&gt;2060,0,INDEX(revenueMatrixNew,($E$16-1)*40+$G59+2,AA$40-2024))*(AA$39&lt;=$E$28)*IF($E$26="Y",1,0)</f>
        <v>338.69613271850665</v>
      </c>
      <c r="AB59" s="508" cm="1">
        <f t="array" ref="AB59">IF(AB$40&gt;2060,0,INDEX(revenueMatrixNew,($E$16-1)*40+$G59+2,AB$40-2024))*(AB$39&lt;=$E$28)*IF($E$26="Y",1,0)</f>
        <v>359.7033237513383</v>
      </c>
      <c r="AC59" s="508" cm="1">
        <f t="array" ref="AC59">IF(AC$40&gt;2060,0,INDEX(revenueMatrixNew,($E$16-1)*40+$G59+2,AC$40-2024))*(AC$39&lt;=$E$28)*IF($E$26="Y",1,0)</f>
        <v>380.71051478416996</v>
      </c>
      <c r="AD59" s="508" cm="1">
        <f t="array" ref="AD59">IF(AD$40&gt;2060,0,INDEX(revenueMatrixNew,($E$16-1)*40+$G59+2,AD$40-2024))*(AD$39&lt;=$E$28)*IF($E$26="Y",1,0)</f>
        <v>401.71770581700162</v>
      </c>
      <c r="AE59" s="508" cm="1">
        <f t="array" ref="AE59">IF(AE$40&gt;2060,0,INDEX(revenueMatrixNew,($E$16-1)*40+$G59+2,AE$40-2024))*(AE$39&lt;=$E$28)*IF($E$26="Y",1,0)</f>
        <v>422.72489684983321</v>
      </c>
      <c r="AF59" s="508" cm="1">
        <f t="array" ref="AF59">IF(AF$40&gt;2060,0,INDEX(revenueMatrixNew,($E$16-1)*40+$G59+2,AF$40-2024))*(AF$39&lt;=$E$28)*IF($E$26="Y",1,0)</f>
        <v>443.73208788266487</v>
      </c>
      <c r="AG59" s="508" cm="1">
        <f t="array" ref="AG59">IF(AG$40&gt;2060,0,INDEX(revenueMatrixNew,($E$16-1)*40+$G59+2,AG$40-2024))*(AG$39&lt;=$E$28)*IF($E$26="Y",1,0)</f>
        <v>0</v>
      </c>
      <c r="AH59" s="508" cm="1">
        <f t="array" ref="AH59">IF(AH$40&gt;2060,0,INDEX(revenueMatrixNew,($E$16-1)*40+$G59+2,AH$40-2024))*(AH$39&lt;=$E$28)*IF($E$26="Y",1,0)</f>
        <v>0</v>
      </c>
      <c r="AI59" s="508" cm="1">
        <f t="array" ref="AI59">IF(AI$40&gt;2060,0,INDEX(revenueMatrixNew,($E$16-1)*40+$G59+2,AI$40-2024))*(AI$39&lt;=$E$28)*IF($E$26="Y",1,0)</f>
        <v>0</v>
      </c>
      <c r="AJ59" s="508" cm="1">
        <f t="array" ref="AJ59">IF(AJ$40&gt;2060,0,INDEX(revenueMatrixNew,($E$16-1)*40+$G59+2,AJ$40-2024))*(AJ$39&lt;=$E$28)*IF($E$26="Y",1,0)</f>
        <v>0</v>
      </c>
      <c r="AK59" s="508" cm="1">
        <f t="array" ref="AK59">IF(AK$40&gt;2060,0,INDEX(revenueMatrixNew,($E$16-1)*40+$G59+2,AK$40-2024))*(AK$39&lt;=$E$28)*IF($E$26="Y",1,0)</f>
        <v>0</v>
      </c>
      <c r="AL59" s="508" cm="1">
        <f t="array" ref="AL59">IF(AL$40&gt;2060,0,INDEX(revenueMatrixNew,($E$16-1)*40+$G59+2,AL$40-2024))*(AL$39&lt;=$E$28)*IF($E$26="Y",1,0)</f>
        <v>0</v>
      </c>
      <c r="AM59" s="508" cm="1">
        <f t="array" ref="AM59">IF(AM$40&gt;2060,0,INDEX(revenueMatrixNew,($E$16-1)*40+$G59+2,AM$40-2024))*(AM$39&lt;=$E$28)*IF($E$26="Y",1,0)</f>
        <v>0</v>
      </c>
      <c r="AN59" s="508" cm="1">
        <f t="array" ref="AN59">IF(AN$40&gt;2060,0,INDEX(revenueMatrixNew,($E$16-1)*40+$G59+2,AN$40-2024))*(AN$39&lt;=$E$28)*IF($E$26="Y",1,0)</f>
        <v>0</v>
      </c>
      <c r="AO59" s="508" cm="1">
        <f t="array" ref="AO59">IF(AO$40&gt;2060,0,INDEX(revenueMatrixNew,($E$16-1)*40+$G59+2,AO$40-2024))*(AO$39&lt;=$E$28)*IF($E$26="Y",1,0)</f>
        <v>0</v>
      </c>
      <c r="AP59" s="508" cm="1">
        <f t="array" ref="AP59">IF(AP$40&gt;2060,0,INDEX(revenueMatrixNew,($E$16-1)*40+$G59+2,AP$40-2024))*(AP$39&lt;=$E$28)*IF($E$26="Y",1,0)</f>
        <v>0</v>
      </c>
      <c r="AQ59" s="508" cm="1">
        <f t="array" ref="AQ59">IF(AQ$40&gt;2060,0,INDEX(revenueMatrixNew,($E$16-1)*40+$G59+2,AQ$40-2024))*(AQ$39&lt;=$E$28)*IF($E$26="Y",1,0)</f>
        <v>0</v>
      </c>
      <c r="AR59" s="508" cm="1">
        <f t="array" ref="AR59">IF(AR$40&gt;2060,0,INDEX(revenueMatrixNew,($E$16-1)*40+$G59+2,AR$40-2024))*(AR$39&lt;=$E$28)*IF($E$26="Y",1,0)</f>
        <v>0</v>
      </c>
      <c r="AS59" s="508" cm="1">
        <f t="array" ref="AS59">IF(AS$40&gt;2060,0,INDEX(revenueMatrixNew,($E$16-1)*40+$G59+2,AS$40-2024))*(AS$39&lt;=$E$28)*IF($E$26="Y",1,0)</f>
        <v>0</v>
      </c>
      <c r="AT59" s="508" cm="1">
        <f t="array" ref="AT59">IF(AT$40&gt;2060,0,INDEX(revenueMatrixNew,($E$16-1)*40+$G59+2,AT$40-2024))*(AT$39&lt;=$E$28)*IF($E$26="Y",1,0)</f>
        <v>0</v>
      </c>
      <c r="AU59" s="508" cm="1">
        <f t="array" ref="AU59">IF(AU$40&gt;2060,0,INDEX(revenueMatrixNew,($E$16-1)*40+$G59+2,AU$40-2024))*(AU$39&lt;=$E$28)*IF($E$26="Y",1,0)</f>
        <v>0</v>
      </c>
      <c r="AV59" s="508" cm="1">
        <f t="array" ref="AV59">IF(AV$40&gt;2060,0,INDEX(revenueMatrixNew,($E$16-1)*40+$G59+2,AV$40-2024))*(AV$39&lt;=$E$28)*IF($E$26="Y",1,0)</f>
        <v>0</v>
      </c>
      <c r="AW59" s="508" cm="1">
        <f t="array" ref="AW59">IF(AW$40&gt;2060,0,INDEX(revenueMatrixNew,($E$16-1)*40+$G59+2,AW$40-2024))*(AW$39&lt;=$E$28)*IF($E$26="Y",1,0)</f>
        <v>0</v>
      </c>
      <c r="AX59" s="508" cm="1">
        <f t="array" ref="AX59">IF(AX$40&gt;2060,0,INDEX(revenueMatrixNew,($E$16-1)*40+$G59+2,AX$40-2024))*(AX$39&lt;=$E$28)*IF($E$26="Y",1,0)</f>
        <v>0</v>
      </c>
      <c r="AY59" s="508" cm="1">
        <f t="array" ref="AY59">IF(AY$40&gt;2060,0,INDEX(revenueMatrixNew,($E$16-1)*40+$G59+2,AY$40-2024))*(AY$39&lt;=$E$28)*IF($E$26="Y",1,0)</f>
        <v>0</v>
      </c>
      <c r="AZ59" s="508" cm="1">
        <f t="array" ref="AZ59">IF(AZ$40&gt;2060,0,INDEX(revenueMatrixNew,($E$16-1)*40+$G59+2,AZ$40-2024))*(AZ$39&lt;=$E$28)*IF($E$26="Y",1,0)</f>
        <v>0</v>
      </c>
      <c r="BB59" s="163"/>
      <c r="BD59" s="472"/>
      <c r="BE59" s="469"/>
      <c r="BF59" s="469"/>
      <c r="BG59" s="469"/>
      <c r="BH59" s="469"/>
      <c r="BI59" s="469"/>
      <c r="BJ59" s="469"/>
      <c r="BK59" s="469"/>
      <c r="BL59" s="469"/>
      <c r="BM59" s="469"/>
      <c r="BN59" s="469"/>
      <c r="BO59" s="469"/>
      <c r="BP59" s="469"/>
      <c r="BQ59" s="469"/>
      <c r="BR59" s="469"/>
    </row>
    <row r="60" spans="1:70" x14ac:dyDescent="0.3">
      <c r="A60" s="495"/>
      <c r="B60" s="6">
        <v>46</v>
      </c>
      <c r="C60" s="493" t="s">
        <v>86</v>
      </c>
      <c r="D60" s="479" t="s">
        <v>9</v>
      </c>
      <c r="E60" s="204">
        <f>INDEX(InputsMatrix,$E$16,$B60)</f>
        <v>7.0000000000000007E-2</v>
      </c>
      <c r="G60" s="473">
        <v>17</v>
      </c>
      <c r="I60" s="525" t="str">
        <f>Benefits!E24</f>
        <v>Market Price Effects - Wholesale Energy</v>
      </c>
      <c r="J60" t="s">
        <v>7</v>
      </c>
      <c r="K60" s="483">
        <f t="shared" si="8"/>
        <v>327.92537825353111</v>
      </c>
      <c r="L60" s="434">
        <v>0</v>
      </c>
      <c r="M60" s="508" cm="1">
        <f t="array" ref="M60">IF(M$40&gt;2060,0,INDEX(revenueMatrixNew,($E$16-1)*40+$G60+2,M$40-2024))*(M$39&lt;=$E$28)*IF($E$26="Y",1,0)</f>
        <v>23.035248702346333</v>
      </c>
      <c r="N60" s="508" cm="1">
        <f t="array" ref="N60">IF(N$40&gt;2060,0,INDEX(revenueMatrixNew,($E$16-1)*40+$G60+2,N$40-2024))*(N$39&lt;=$E$28)*IF($E$26="Y",1,0)</f>
        <v>39.423424851736492</v>
      </c>
      <c r="O60" s="508" cm="1">
        <f t="array" ref="O60">IF(O$40&gt;2060,0,INDEX(revenueMatrixNew,($E$16-1)*40+$G60+2,O$40-2024))*(O$39&lt;=$E$28)*IF($E$26="Y",1,0)</f>
        <v>54.352395858219772</v>
      </c>
      <c r="P60" s="508" cm="1">
        <f t="array" ref="P60">IF(P$40&gt;2060,0,INDEX(revenueMatrixNew,($E$16-1)*40+$G60+2,P$40-2024))*(P$39&lt;=$E$28)*IF($E$26="Y",1,0)</f>
        <v>55.05125615688199</v>
      </c>
      <c r="Q60" s="508" cm="1">
        <f t="array" ref="Q60">IF(Q$40&gt;2060,0,INDEX(revenueMatrixNew,($E$16-1)*40+$G60+2,Q$40-2024))*(Q$39&lt;=$E$28)*IF($E$26="Y",1,0)</f>
        <v>70.339651868814656</v>
      </c>
      <c r="R60" s="508" cm="1">
        <f t="array" ref="R60">IF(R$40&gt;2060,0,INDEX(revenueMatrixNew,($E$16-1)*40+$G60+2,R$40-2024))*(R$39&lt;=$E$28)*IF($E$26="Y",1,0)</f>
        <v>63.465537245320895</v>
      </c>
      <c r="S60" s="508" cm="1">
        <f t="array" ref="S60">IF(S$40&gt;2060,0,INDEX(revenueMatrixNew,($E$16-1)*40+$G60+2,S$40-2024))*(S$39&lt;=$E$28)*IF($E$26="Y",1,0)</f>
        <v>56.591422621827128</v>
      </c>
      <c r="T60" s="508" cm="1">
        <f t="array" ref="T60">IF(T$40&gt;2060,0,INDEX(revenueMatrixNew,($E$16-1)*40+$G60+2,T$40-2024))*(T$39&lt;=$E$28)*IF($E$26="Y",1,0)</f>
        <v>49.717307998333368</v>
      </c>
      <c r="U60" s="508" cm="1">
        <f t="array" ref="U60">IF(U$40&gt;2060,0,INDEX(revenueMatrixNew,($E$16-1)*40+$G60+2,U$40-2024))*(U$39&lt;=$E$28)*IF($E$26="Y",1,0)</f>
        <v>42.843193374839601</v>
      </c>
      <c r="V60" s="508" cm="1">
        <f t="array" ref="V60">IF(V$40&gt;2060,0,INDEX(revenueMatrixNew,($E$16-1)*40+$G60+2,V$40-2024))*(V$39&lt;=$E$28)*IF($E$26="Y",1,0)</f>
        <v>35.96907875134584</v>
      </c>
      <c r="W60" s="508" cm="1">
        <f t="array" ref="W60">IF(W$40&gt;2060,0,INDEX(revenueMatrixNew,($E$16-1)*40+$G60+2,W$40-2024))*(W$39&lt;=$E$28)*IF($E$26="Y",1,0)</f>
        <v>42.163215486230513</v>
      </c>
      <c r="X60" s="508" cm="1">
        <f t="array" ref="X60">IF(X$40&gt;2060,0,INDEX(revenueMatrixNew,($E$16-1)*40+$G60+2,X$40-2024))*(X$39&lt;=$E$28)*IF($E$26="Y",1,0)</f>
        <v>48.357352221115178</v>
      </c>
      <c r="Y60" s="508" cm="1">
        <f t="array" ref="Y60">IF(Y$40&gt;2060,0,INDEX(revenueMatrixNew,($E$16-1)*40+$G60+2,Y$40-2024))*(Y$39&lt;=$E$28)*IF($E$26="Y",1,0)</f>
        <v>54.551488955999851</v>
      </c>
      <c r="Z60" s="508" cm="1">
        <f t="array" ref="Z60">IF(Z$40&gt;2060,0,INDEX(revenueMatrixNew,($E$16-1)*40+$G60+2,Z$40-2024))*(Z$39&lt;=$E$28)*IF($E$26="Y",1,0)</f>
        <v>60.745625690884523</v>
      </c>
      <c r="AA60" s="508" cm="1">
        <f t="array" ref="AA60">IF(AA$40&gt;2060,0,INDEX(revenueMatrixNew,($E$16-1)*40+$G60+2,AA$40-2024))*(AA$39&lt;=$E$28)*IF($E$26="Y",1,0)</f>
        <v>66.939762425769189</v>
      </c>
      <c r="AB60" s="508" cm="1">
        <f t="array" ref="AB60">IF(AB$40&gt;2060,0,INDEX(revenueMatrixNew,($E$16-1)*40+$G60+2,AB$40-2024))*(AB$39&lt;=$E$28)*IF($E$26="Y",1,0)</f>
        <v>70.117159035893849</v>
      </c>
      <c r="AC60" s="508" cm="1">
        <f t="array" ref="AC60">IF(AC$40&gt;2060,0,INDEX(revenueMatrixNew,($E$16-1)*40+$G60+2,AC$40-2024))*(AC$39&lt;=$E$28)*IF($E$26="Y",1,0)</f>
        <v>73.294555646018509</v>
      </c>
      <c r="AD60" s="508" cm="1">
        <f t="array" ref="AD60">IF(AD$40&gt;2060,0,INDEX(revenueMatrixNew,($E$16-1)*40+$G60+2,AD$40-2024))*(AD$39&lt;=$E$28)*IF($E$26="Y",1,0)</f>
        <v>76.471952256143169</v>
      </c>
      <c r="AE60" s="508" cm="1">
        <f t="array" ref="AE60">IF(AE$40&gt;2060,0,INDEX(revenueMatrixNew,($E$16-1)*40+$G60+2,AE$40-2024))*(AE$39&lt;=$E$28)*IF($E$26="Y",1,0)</f>
        <v>79.649348866267829</v>
      </c>
      <c r="AF60" s="508" cm="1">
        <f t="array" ref="AF60">IF(AF$40&gt;2060,0,INDEX(revenueMatrixNew,($E$16-1)*40+$G60+2,AF$40-2024))*(AF$39&lt;=$E$28)*IF($E$26="Y",1,0)</f>
        <v>82.826745476392489</v>
      </c>
      <c r="AG60" s="508" cm="1">
        <f t="array" ref="AG60">IF(AG$40&gt;2060,0,INDEX(revenueMatrixNew,($E$16-1)*40+$G60+2,AG$40-2024))*(AG$39&lt;=$E$28)*IF($E$26="Y",1,0)</f>
        <v>0</v>
      </c>
      <c r="AH60" s="508" cm="1">
        <f t="array" ref="AH60">IF(AH$40&gt;2060,0,INDEX(revenueMatrixNew,($E$16-1)*40+$G60+2,AH$40-2024))*(AH$39&lt;=$E$28)*IF($E$26="Y",1,0)</f>
        <v>0</v>
      </c>
      <c r="AI60" s="508" cm="1">
        <f t="array" ref="AI60">IF(AI$40&gt;2060,0,INDEX(revenueMatrixNew,($E$16-1)*40+$G60+2,AI$40-2024))*(AI$39&lt;=$E$28)*IF($E$26="Y",1,0)</f>
        <v>0</v>
      </c>
      <c r="AJ60" s="508" cm="1">
        <f t="array" ref="AJ60">IF(AJ$40&gt;2060,0,INDEX(revenueMatrixNew,($E$16-1)*40+$G60+2,AJ$40-2024))*(AJ$39&lt;=$E$28)*IF($E$26="Y",1,0)</f>
        <v>0</v>
      </c>
      <c r="AK60" s="508" cm="1">
        <f t="array" ref="AK60">IF(AK$40&gt;2060,0,INDEX(revenueMatrixNew,($E$16-1)*40+$G60+2,AK$40-2024))*(AK$39&lt;=$E$28)*IF($E$26="Y",1,0)</f>
        <v>0</v>
      </c>
      <c r="AL60" s="508" cm="1">
        <f t="array" ref="AL60">IF(AL$40&gt;2060,0,INDEX(revenueMatrixNew,($E$16-1)*40+$G60+2,AL$40-2024))*(AL$39&lt;=$E$28)*IF($E$26="Y",1,0)</f>
        <v>0</v>
      </c>
      <c r="AM60" s="508" cm="1">
        <f t="array" ref="AM60">IF(AM$40&gt;2060,0,INDEX(revenueMatrixNew,($E$16-1)*40+$G60+2,AM$40-2024))*(AM$39&lt;=$E$28)*IF($E$26="Y",1,0)</f>
        <v>0</v>
      </c>
      <c r="AN60" s="508" cm="1">
        <f t="array" ref="AN60">IF(AN$40&gt;2060,0,INDEX(revenueMatrixNew,($E$16-1)*40+$G60+2,AN$40-2024))*(AN$39&lt;=$E$28)*IF($E$26="Y",1,0)</f>
        <v>0</v>
      </c>
      <c r="AO60" s="508" cm="1">
        <f t="array" ref="AO60">IF(AO$40&gt;2060,0,INDEX(revenueMatrixNew,($E$16-1)*40+$G60+2,AO$40-2024))*(AO$39&lt;=$E$28)*IF($E$26="Y",1,0)</f>
        <v>0</v>
      </c>
      <c r="AP60" s="508" cm="1">
        <f t="array" ref="AP60">IF(AP$40&gt;2060,0,INDEX(revenueMatrixNew,($E$16-1)*40+$G60+2,AP$40-2024))*(AP$39&lt;=$E$28)*IF($E$26="Y",1,0)</f>
        <v>0</v>
      </c>
      <c r="AQ60" s="508" cm="1">
        <f t="array" ref="AQ60">IF(AQ$40&gt;2060,0,INDEX(revenueMatrixNew,($E$16-1)*40+$G60+2,AQ$40-2024))*(AQ$39&lt;=$E$28)*IF($E$26="Y",1,0)</f>
        <v>0</v>
      </c>
      <c r="AR60" s="508" cm="1">
        <f t="array" ref="AR60">IF(AR$40&gt;2060,0,INDEX(revenueMatrixNew,($E$16-1)*40+$G60+2,AR$40-2024))*(AR$39&lt;=$E$28)*IF($E$26="Y",1,0)</f>
        <v>0</v>
      </c>
      <c r="AS60" s="508" cm="1">
        <f t="array" ref="AS60">IF(AS$40&gt;2060,0,INDEX(revenueMatrixNew,($E$16-1)*40+$G60+2,AS$40-2024))*(AS$39&lt;=$E$28)*IF($E$26="Y",1,0)</f>
        <v>0</v>
      </c>
      <c r="AT60" s="508" cm="1">
        <f t="array" ref="AT60">IF(AT$40&gt;2060,0,INDEX(revenueMatrixNew,($E$16-1)*40+$G60+2,AT$40-2024))*(AT$39&lt;=$E$28)*IF($E$26="Y",1,0)</f>
        <v>0</v>
      </c>
      <c r="AU60" s="508" cm="1">
        <f t="array" ref="AU60">IF(AU$40&gt;2060,0,INDEX(revenueMatrixNew,($E$16-1)*40+$G60+2,AU$40-2024))*(AU$39&lt;=$E$28)*IF($E$26="Y",1,0)</f>
        <v>0</v>
      </c>
      <c r="AV60" s="508" cm="1">
        <f t="array" ref="AV60">IF(AV$40&gt;2060,0,INDEX(revenueMatrixNew,($E$16-1)*40+$G60+2,AV$40-2024))*(AV$39&lt;=$E$28)*IF($E$26="Y",1,0)</f>
        <v>0</v>
      </c>
      <c r="AW60" s="508" cm="1">
        <f t="array" ref="AW60">IF(AW$40&gt;2060,0,INDEX(revenueMatrixNew,($E$16-1)*40+$G60+2,AW$40-2024))*(AW$39&lt;=$E$28)*IF($E$26="Y",1,0)</f>
        <v>0</v>
      </c>
      <c r="AX60" s="508" cm="1">
        <f t="array" ref="AX60">IF(AX$40&gt;2060,0,INDEX(revenueMatrixNew,($E$16-1)*40+$G60+2,AX$40-2024))*(AX$39&lt;=$E$28)*IF($E$26="Y",1,0)</f>
        <v>0</v>
      </c>
      <c r="AY60" s="508" cm="1">
        <f t="array" ref="AY60">IF(AY$40&gt;2060,0,INDEX(revenueMatrixNew,($E$16-1)*40+$G60+2,AY$40-2024))*(AY$39&lt;=$E$28)*IF($E$26="Y",1,0)</f>
        <v>0</v>
      </c>
      <c r="AZ60" s="508" cm="1">
        <f t="array" ref="AZ60">IF(AZ$40&gt;2060,0,INDEX(revenueMatrixNew,($E$16-1)*40+$G60+2,AZ$40-2024))*(AZ$39&lt;=$E$28)*IF($E$26="Y",1,0)</f>
        <v>0</v>
      </c>
      <c r="BB60" s="163"/>
      <c r="BD60" s="472"/>
      <c r="BE60" s="469"/>
      <c r="BF60" s="469"/>
      <c r="BG60" s="469"/>
      <c r="BH60" s="469"/>
      <c r="BI60" s="469"/>
      <c r="BJ60" s="469"/>
      <c r="BK60" s="469"/>
      <c r="BL60" s="469"/>
      <c r="BM60" s="469"/>
      <c r="BN60" s="469"/>
      <c r="BO60" s="469"/>
      <c r="BP60" s="469"/>
      <c r="BQ60" s="469"/>
      <c r="BR60" s="469"/>
    </row>
    <row r="61" spans="1:70" x14ac:dyDescent="0.3">
      <c r="A61" s="495"/>
      <c r="B61" s="6">
        <v>47</v>
      </c>
      <c r="C61" s="493" t="s">
        <v>87</v>
      </c>
      <c r="D61" s="479" t="s">
        <v>22</v>
      </c>
      <c r="E61" s="206">
        <f>INDEX(InputsMatrix,$E$16,$B61)</f>
        <v>10</v>
      </c>
      <c r="G61" s="473">
        <v>18</v>
      </c>
      <c r="I61" s="525" t="str">
        <f>Benefits!E25</f>
        <v>Market Price Effects - Wholesale Capacity</v>
      </c>
      <c r="J61" t="s">
        <v>7</v>
      </c>
      <c r="K61" s="483">
        <f t="shared" si="8"/>
        <v>0</v>
      </c>
      <c r="L61" s="434">
        <v>0</v>
      </c>
      <c r="M61" s="508" cm="1">
        <f t="array" ref="M61">IF(M$40&gt;2060,0,INDEX(revenueMatrixNew,($E$16-1)*40+$G61+2,M$40-2024))*(M$39&lt;=$E$28)*IF($E$26="Y",1,0)</f>
        <v>0</v>
      </c>
      <c r="N61" s="508" cm="1">
        <f t="array" ref="N61">IF(N$40&gt;2060,0,INDEX(revenueMatrixNew,($E$16-1)*40+$G61+2,N$40-2024))*(N$39&lt;=$E$28)*IF($E$26="Y",1,0)</f>
        <v>0</v>
      </c>
      <c r="O61" s="508" cm="1">
        <f t="array" ref="O61">IF(O$40&gt;2060,0,INDEX(revenueMatrixNew,($E$16-1)*40+$G61+2,O$40-2024))*(O$39&lt;=$E$28)*IF($E$26="Y",1,0)</f>
        <v>0</v>
      </c>
      <c r="P61" s="508" cm="1">
        <f t="array" ref="P61">IF(P$40&gt;2060,0,INDEX(revenueMatrixNew,($E$16-1)*40+$G61+2,P$40-2024))*(P$39&lt;=$E$28)*IF($E$26="Y",1,0)</f>
        <v>0</v>
      </c>
      <c r="Q61" s="508" cm="1">
        <f t="array" ref="Q61">IF(Q$40&gt;2060,0,INDEX(revenueMatrixNew,($E$16-1)*40+$G61+2,Q$40-2024))*(Q$39&lt;=$E$28)*IF($E$26="Y",1,0)</f>
        <v>0</v>
      </c>
      <c r="R61" s="508" cm="1">
        <f t="array" ref="R61">IF(R$40&gt;2060,0,INDEX(revenueMatrixNew,($E$16-1)*40+$G61+2,R$40-2024))*(R$39&lt;=$E$28)*IF($E$26="Y",1,0)</f>
        <v>0</v>
      </c>
      <c r="S61" s="508" cm="1">
        <f t="array" ref="S61">IF(S$40&gt;2060,0,INDEX(revenueMatrixNew,($E$16-1)*40+$G61+2,S$40-2024))*(S$39&lt;=$E$28)*IF($E$26="Y",1,0)</f>
        <v>0</v>
      </c>
      <c r="T61" s="508" cm="1">
        <f t="array" ref="T61">IF(T$40&gt;2060,0,INDEX(revenueMatrixNew,($E$16-1)*40+$G61+2,T$40-2024))*(T$39&lt;=$E$28)*IF($E$26="Y",1,0)</f>
        <v>0</v>
      </c>
      <c r="U61" s="508" cm="1">
        <f t="array" ref="U61">IF(U$40&gt;2060,0,INDEX(revenueMatrixNew,($E$16-1)*40+$G61+2,U$40-2024))*(U$39&lt;=$E$28)*IF($E$26="Y",1,0)</f>
        <v>0</v>
      </c>
      <c r="V61" s="508" cm="1">
        <f t="array" ref="V61">IF(V$40&gt;2060,0,INDEX(revenueMatrixNew,($E$16-1)*40+$G61+2,V$40-2024))*(V$39&lt;=$E$28)*IF($E$26="Y",1,0)</f>
        <v>0</v>
      </c>
      <c r="W61" s="508" cm="1">
        <f t="array" ref="W61">IF(W$40&gt;2060,0,INDEX(revenueMatrixNew,($E$16-1)*40+$G61+2,W$40-2024))*(W$39&lt;=$E$28)*IF($E$26="Y",1,0)</f>
        <v>0</v>
      </c>
      <c r="X61" s="508" cm="1">
        <f t="array" ref="X61">IF(X$40&gt;2060,0,INDEX(revenueMatrixNew,($E$16-1)*40+$G61+2,X$40-2024))*(X$39&lt;=$E$28)*IF($E$26="Y",1,0)</f>
        <v>0</v>
      </c>
      <c r="Y61" s="508" cm="1">
        <f t="array" ref="Y61">IF(Y$40&gt;2060,0,INDEX(revenueMatrixNew,($E$16-1)*40+$G61+2,Y$40-2024))*(Y$39&lt;=$E$28)*IF($E$26="Y",1,0)</f>
        <v>0</v>
      </c>
      <c r="Z61" s="508" cm="1">
        <f t="array" ref="Z61">IF(Z$40&gt;2060,0,INDEX(revenueMatrixNew,($E$16-1)*40+$G61+2,Z$40-2024))*(Z$39&lt;=$E$28)*IF($E$26="Y",1,0)</f>
        <v>0</v>
      </c>
      <c r="AA61" s="508" cm="1">
        <f t="array" ref="AA61">IF(AA$40&gt;2060,0,INDEX(revenueMatrixNew,($E$16-1)*40+$G61+2,AA$40-2024))*(AA$39&lt;=$E$28)*IF($E$26="Y",1,0)</f>
        <v>0</v>
      </c>
      <c r="AB61" s="508" cm="1">
        <f t="array" ref="AB61">IF(AB$40&gt;2060,0,INDEX(revenueMatrixNew,($E$16-1)*40+$G61+2,AB$40-2024))*(AB$39&lt;=$E$28)*IF($E$26="Y",1,0)</f>
        <v>0</v>
      </c>
      <c r="AC61" s="508" cm="1">
        <f t="array" ref="AC61">IF(AC$40&gt;2060,0,INDEX(revenueMatrixNew,($E$16-1)*40+$G61+2,AC$40-2024))*(AC$39&lt;=$E$28)*IF($E$26="Y",1,0)</f>
        <v>0</v>
      </c>
      <c r="AD61" s="508" cm="1">
        <f t="array" ref="AD61">IF(AD$40&gt;2060,0,INDEX(revenueMatrixNew,($E$16-1)*40+$G61+2,AD$40-2024))*(AD$39&lt;=$E$28)*IF($E$26="Y",1,0)</f>
        <v>0</v>
      </c>
      <c r="AE61" s="508" cm="1">
        <f t="array" ref="AE61">IF(AE$40&gt;2060,0,INDEX(revenueMatrixNew,($E$16-1)*40+$G61+2,AE$40-2024))*(AE$39&lt;=$E$28)*IF($E$26="Y",1,0)</f>
        <v>0</v>
      </c>
      <c r="AF61" s="508" cm="1">
        <f t="array" ref="AF61">IF(AF$40&gt;2060,0,INDEX(revenueMatrixNew,($E$16-1)*40+$G61+2,AF$40-2024))*(AF$39&lt;=$E$28)*IF($E$26="Y",1,0)</f>
        <v>0</v>
      </c>
      <c r="AG61" s="508" cm="1">
        <f t="array" ref="AG61">IF(AG$40&gt;2060,0,INDEX(revenueMatrixNew,($E$16-1)*40+$G61+2,AG$40-2024))*(AG$39&lt;=$E$28)*IF($E$26="Y",1,0)</f>
        <v>0</v>
      </c>
      <c r="AH61" s="508" cm="1">
        <f t="array" ref="AH61">IF(AH$40&gt;2060,0,INDEX(revenueMatrixNew,($E$16-1)*40+$G61+2,AH$40-2024))*(AH$39&lt;=$E$28)*IF($E$26="Y",1,0)</f>
        <v>0</v>
      </c>
      <c r="AI61" s="508" cm="1">
        <f t="array" ref="AI61">IF(AI$40&gt;2060,0,INDEX(revenueMatrixNew,($E$16-1)*40+$G61+2,AI$40-2024))*(AI$39&lt;=$E$28)*IF($E$26="Y",1,0)</f>
        <v>0</v>
      </c>
      <c r="AJ61" s="508" cm="1">
        <f t="array" ref="AJ61">IF(AJ$40&gt;2060,0,INDEX(revenueMatrixNew,($E$16-1)*40+$G61+2,AJ$40-2024))*(AJ$39&lt;=$E$28)*IF($E$26="Y",1,0)</f>
        <v>0</v>
      </c>
      <c r="AK61" s="508" cm="1">
        <f t="array" ref="AK61">IF(AK$40&gt;2060,0,INDEX(revenueMatrixNew,($E$16-1)*40+$G61+2,AK$40-2024))*(AK$39&lt;=$E$28)*IF($E$26="Y",1,0)</f>
        <v>0</v>
      </c>
      <c r="AL61" s="508" cm="1">
        <f t="array" ref="AL61">IF(AL$40&gt;2060,0,INDEX(revenueMatrixNew,($E$16-1)*40+$G61+2,AL$40-2024))*(AL$39&lt;=$E$28)*IF($E$26="Y",1,0)</f>
        <v>0</v>
      </c>
      <c r="AM61" s="508" cm="1">
        <f t="array" ref="AM61">IF(AM$40&gt;2060,0,INDEX(revenueMatrixNew,($E$16-1)*40+$G61+2,AM$40-2024))*(AM$39&lt;=$E$28)*IF($E$26="Y",1,0)</f>
        <v>0</v>
      </c>
      <c r="AN61" s="508" cm="1">
        <f t="array" ref="AN61">IF(AN$40&gt;2060,0,INDEX(revenueMatrixNew,($E$16-1)*40+$G61+2,AN$40-2024))*(AN$39&lt;=$E$28)*IF($E$26="Y",1,0)</f>
        <v>0</v>
      </c>
      <c r="AO61" s="508" cm="1">
        <f t="array" ref="AO61">IF(AO$40&gt;2060,0,INDEX(revenueMatrixNew,($E$16-1)*40+$G61+2,AO$40-2024))*(AO$39&lt;=$E$28)*IF($E$26="Y",1,0)</f>
        <v>0</v>
      </c>
      <c r="AP61" s="508" cm="1">
        <f t="array" ref="AP61">IF(AP$40&gt;2060,0,INDEX(revenueMatrixNew,($E$16-1)*40+$G61+2,AP$40-2024))*(AP$39&lt;=$E$28)*IF($E$26="Y",1,0)</f>
        <v>0</v>
      </c>
      <c r="AQ61" s="508" cm="1">
        <f t="array" ref="AQ61">IF(AQ$40&gt;2060,0,INDEX(revenueMatrixNew,($E$16-1)*40+$G61+2,AQ$40-2024))*(AQ$39&lt;=$E$28)*IF($E$26="Y",1,0)</f>
        <v>0</v>
      </c>
      <c r="AR61" s="508" cm="1">
        <f t="array" ref="AR61">IF(AR$40&gt;2060,0,INDEX(revenueMatrixNew,($E$16-1)*40+$G61+2,AR$40-2024))*(AR$39&lt;=$E$28)*IF($E$26="Y",1,0)</f>
        <v>0</v>
      </c>
      <c r="AS61" s="508" cm="1">
        <f t="array" ref="AS61">IF(AS$40&gt;2060,0,INDEX(revenueMatrixNew,($E$16-1)*40+$G61+2,AS$40-2024))*(AS$39&lt;=$E$28)*IF($E$26="Y",1,0)</f>
        <v>0</v>
      </c>
      <c r="AT61" s="508" cm="1">
        <f t="array" ref="AT61">IF(AT$40&gt;2060,0,INDEX(revenueMatrixNew,($E$16-1)*40+$G61+2,AT$40-2024))*(AT$39&lt;=$E$28)*IF($E$26="Y",1,0)</f>
        <v>0</v>
      </c>
      <c r="AU61" s="508" cm="1">
        <f t="array" ref="AU61">IF(AU$40&gt;2060,0,INDEX(revenueMatrixNew,($E$16-1)*40+$G61+2,AU$40-2024))*(AU$39&lt;=$E$28)*IF($E$26="Y",1,0)</f>
        <v>0</v>
      </c>
      <c r="AV61" s="508" cm="1">
        <f t="array" ref="AV61">IF(AV$40&gt;2060,0,INDEX(revenueMatrixNew,($E$16-1)*40+$G61+2,AV$40-2024))*(AV$39&lt;=$E$28)*IF($E$26="Y",1,0)</f>
        <v>0</v>
      </c>
      <c r="AW61" s="508" cm="1">
        <f t="array" ref="AW61">IF(AW$40&gt;2060,0,INDEX(revenueMatrixNew,($E$16-1)*40+$G61+2,AW$40-2024))*(AW$39&lt;=$E$28)*IF($E$26="Y",1,0)</f>
        <v>0</v>
      </c>
      <c r="AX61" s="508" cm="1">
        <f t="array" ref="AX61">IF(AX$40&gt;2060,0,INDEX(revenueMatrixNew,($E$16-1)*40+$G61+2,AX$40-2024))*(AX$39&lt;=$E$28)*IF($E$26="Y",1,0)</f>
        <v>0</v>
      </c>
      <c r="AY61" s="508" cm="1">
        <f t="array" ref="AY61">IF(AY$40&gt;2060,0,INDEX(revenueMatrixNew,($E$16-1)*40+$G61+2,AY$40-2024))*(AY$39&lt;=$E$28)*IF($E$26="Y",1,0)</f>
        <v>0</v>
      </c>
      <c r="AZ61" s="508" cm="1">
        <f t="array" ref="AZ61">IF(AZ$40&gt;2060,0,INDEX(revenueMatrixNew,($E$16-1)*40+$G61+2,AZ$40-2024))*(AZ$39&lt;=$E$28)*IF($E$26="Y",1,0)</f>
        <v>0</v>
      </c>
      <c r="BB61" s="163"/>
      <c r="BC61"/>
      <c r="BD61" s="472"/>
      <c r="BE61" s="469"/>
      <c r="BF61" s="469"/>
      <c r="BG61" s="469"/>
      <c r="BH61" s="469"/>
      <c r="BI61" s="469"/>
      <c r="BJ61" s="469"/>
      <c r="BK61" s="469"/>
      <c r="BL61" s="469"/>
      <c r="BM61" s="469"/>
      <c r="BN61" s="469"/>
      <c r="BO61" s="469"/>
      <c r="BP61" s="469"/>
      <c r="BQ61" s="469"/>
      <c r="BR61" s="469"/>
    </row>
    <row r="62" spans="1:70" x14ac:dyDescent="0.3">
      <c r="A62" s="511"/>
      <c r="B62" s="6">
        <v>48</v>
      </c>
      <c r="C62" s="493" t="s">
        <v>14</v>
      </c>
      <c r="D62" s="479" t="s">
        <v>9</v>
      </c>
      <c r="E62" s="204">
        <f>INDEX(InputsMatrix,$E$16,$B62)</f>
        <v>0.125</v>
      </c>
      <c r="G62" s="473">
        <v>19</v>
      </c>
      <c r="I62" s="529" t="str">
        <f>Benefits!E26</f>
        <v>Avoided Cost of Participant Backup Generator</v>
      </c>
      <c r="J62" t="s">
        <v>7</v>
      </c>
      <c r="K62" s="483">
        <f t="shared" si="8"/>
        <v>1580.2469135802469</v>
      </c>
      <c r="L62" s="434">
        <v>0</v>
      </c>
      <c r="M62" s="508" cm="1">
        <f t="array" ref="M62">IF(M$40&gt;2060,0,INDEX(revenueMatrixNew,($E$16-1)*40+$G62+2,M$40-2024))*(M$39&lt;=$E$28)</f>
        <v>2000</v>
      </c>
      <c r="N62" s="508" cm="1">
        <f t="array" ref="N62">IF(N$40&gt;2060,0,INDEX(revenueMatrixNew,($E$16-1)*40+$G62+2,N$40-2024))*(N$39&lt;=$E$28)</f>
        <v>0</v>
      </c>
      <c r="O62" s="508" cm="1">
        <f t="array" ref="O62">IF(O$40&gt;2060,0,INDEX(revenueMatrixNew,($E$16-1)*40+$G62+2,O$40-2024))*(O$39&lt;=$E$28)</f>
        <v>0</v>
      </c>
      <c r="P62" s="508" cm="1">
        <f t="array" ref="P62">IF(P$40&gt;2060,0,INDEX(revenueMatrixNew,($E$16-1)*40+$G62+2,P$40-2024))*(P$39&lt;=$E$28)</f>
        <v>0</v>
      </c>
      <c r="Q62" s="508" cm="1">
        <f t="array" ref="Q62">IF(Q$40&gt;2060,0,INDEX(revenueMatrixNew,($E$16-1)*40+$G62+2,Q$40-2024))*(Q$39&lt;=$E$28)</f>
        <v>0</v>
      </c>
      <c r="R62" s="508" cm="1">
        <f t="array" ref="R62">IF(R$40&gt;2060,0,INDEX(revenueMatrixNew,($E$16-1)*40+$G62+2,R$40-2024))*(R$39&lt;=$E$28)</f>
        <v>0</v>
      </c>
      <c r="S62" s="508" cm="1">
        <f t="array" ref="S62">IF(S$40&gt;2060,0,INDEX(revenueMatrixNew,($E$16-1)*40+$G62+2,S$40-2024))*(S$39&lt;=$E$28)</f>
        <v>0</v>
      </c>
      <c r="T62" s="508" cm="1">
        <f t="array" ref="T62">IF(T$40&gt;2060,0,INDEX(revenueMatrixNew,($E$16-1)*40+$G62+2,T$40-2024))*(T$39&lt;=$E$28)</f>
        <v>0</v>
      </c>
      <c r="U62" s="508" cm="1">
        <f t="array" ref="U62">IF(U$40&gt;2060,0,INDEX(revenueMatrixNew,($E$16-1)*40+$G62+2,U$40-2024))*(U$39&lt;=$E$28)</f>
        <v>0</v>
      </c>
      <c r="V62" s="508" cm="1">
        <f t="array" ref="V62">IF(V$40&gt;2060,0,INDEX(revenueMatrixNew,($E$16-1)*40+$G62+2,V$40-2024))*(V$39&lt;=$E$28)</f>
        <v>0</v>
      </c>
      <c r="W62" s="508" cm="1">
        <f t="array" ref="W62">IF(W$40&gt;2060,0,INDEX(revenueMatrixNew,($E$16-1)*40+$G62+2,W$40-2024))*(W$39&lt;=$E$28)</f>
        <v>0</v>
      </c>
      <c r="X62" s="508" cm="1">
        <f t="array" ref="X62">IF(X$40&gt;2060,0,INDEX(revenueMatrixNew,($E$16-1)*40+$G62+2,X$40-2024))*(X$39&lt;=$E$28)</f>
        <v>0</v>
      </c>
      <c r="Y62" s="508" cm="1">
        <f t="array" ref="Y62">IF(Y$40&gt;2060,0,INDEX(revenueMatrixNew,($E$16-1)*40+$G62+2,Y$40-2024))*(Y$39&lt;=$E$28)</f>
        <v>0</v>
      </c>
      <c r="Z62" s="508" cm="1">
        <f t="array" ref="Z62">IF(Z$40&gt;2060,0,INDEX(revenueMatrixNew,($E$16-1)*40+$G62+2,Z$40-2024))*(Z$39&lt;=$E$28)</f>
        <v>0</v>
      </c>
      <c r="AA62" s="508" cm="1">
        <f t="array" ref="AA62">IF(AA$40&gt;2060,0,INDEX(revenueMatrixNew,($E$16-1)*40+$G62+2,AA$40-2024))*(AA$39&lt;=$E$28)</f>
        <v>0</v>
      </c>
      <c r="AB62" s="508" cm="1">
        <f t="array" ref="AB62">IF(AB$40&gt;2060,0,INDEX(revenueMatrixNew,($E$16-1)*40+$G62+2,AB$40-2024))*(AB$39&lt;=$E$28)</f>
        <v>0</v>
      </c>
      <c r="AC62" s="508" cm="1">
        <f t="array" ref="AC62">IF(AC$40&gt;2060,0,INDEX(revenueMatrixNew,($E$16-1)*40+$G62+2,AC$40-2024))*(AC$39&lt;=$E$28)</f>
        <v>0</v>
      </c>
      <c r="AD62" s="508" cm="1">
        <f t="array" ref="AD62">IF(AD$40&gt;2060,0,INDEX(revenueMatrixNew,($E$16-1)*40+$G62+2,AD$40-2024))*(AD$39&lt;=$E$28)</f>
        <v>0</v>
      </c>
      <c r="AE62" s="508" cm="1">
        <f t="array" ref="AE62">IF(AE$40&gt;2060,0,INDEX(revenueMatrixNew,($E$16-1)*40+$G62+2,AE$40-2024))*(AE$39&lt;=$E$28)</f>
        <v>0</v>
      </c>
      <c r="AF62" s="508" cm="1">
        <f t="array" ref="AF62">IF(AF$40&gt;2060,0,INDEX(revenueMatrixNew,($E$16-1)*40+$G62+2,AF$40-2024))*(AF$39&lt;=$E$28)</f>
        <v>0</v>
      </c>
      <c r="AG62" s="508" cm="1">
        <f t="array" ref="AG62">IF(AG$40&gt;2060,0,INDEX(revenueMatrixNew,($E$16-1)*40+$G62+2,AG$40-2024))*(AG$39&lt;=$E$28)</f>
        <v>0</v>
      </c>
      <c r="AH62" s="508" cm="1">
        <f t="array" ref="AH62">IF(AH$40&gt;2060,0,INDEX(revenueMatrixNew,($E$16-1)*40+$G62+2,AH$40-2024))*(AH$39&lt;=$E$28)</f>
        <v>0</v>
      </c>
      <c r="AI62" s="508" cm="1">
        <f t="array" ref="AI62">IF(AI$40&gt;2060,0,INDEX(revenueMatrixNew,($E$16-1)*40+$G62+2,AI$40-2024))*(AI$39&lt;=$E$28)</f>
        <v>0</v>
      </c>
      <c r="AJ62" s="508" cm="1">
        <f t="array" ref="AJ62">IF(AJ$40&gt;2060,0,INDEX(revenueMatrixNew,($E$16-1)*40+$G62+2,AJ$40-2024))*(AJ$39&lt;=$E$28)</f>
        <v>0</v>
      </c>
      <c r="AK62" s="508" cm="1">
        <f t="array" ref="AK62">IF(AK$40&gt;2060,0,INDEX(revenueMatrixNew,($E$16-1)*40+$G62+2,AK$40-2024))*(AK$39&lt;=$E$28)</f>
        <v>0</v>
      </c>
      <c r="AL62" s="508" cm="1">
        <f t="array" ref="AL62">IF(AL$40&gt;2060,0,INDEX(revenueMatrixNew,($E$16-1)*40+$G62+2,AL$40-2024))*(AL$39&lt;=$E$28)</f>
        <v>0</v>
      </c>
      <c r="AM62" s="508" cm="1">
        <f t="array" ref="AM62">IF(AM$40&gt;2060,0,INDEX(revenueMatrixNew,($E$16-1)*40+$G62+2,AM$40-2024))*(AM$39&lt;=$E$28)</f>
        <v>0</v>
      </c>
      <c r="AN62" s="508" cm="1">
        <f t="array" ref="AN62">IF(AN$40&gt;2060,0,INDEX(revenueMatrixNew,($E$16-1)*40+$G62+2,AN$40-2024))*(AN$39&lt;=$E$28)</f>
        <v>0</v>
      </c>
      <c r="AO62" s="508" cm="1">
        <f t="array" ref="AO62">IF(AO$40&gt;2060,0,INDEX(revenueMatrixNew,($E$16-1)*40+$G62+2,AO$40-2024))*(AO$39&lt;=$E$28)</f>
        <v>0</v>
      </c>
      <c r="AP62" s="508" cm="1">
        <f t="array" ref="AP62">IF(AP$40&gt;2060,0,INDEX(revenueMatrixNew,($E$16-1)*40+$G62+2,AP$40-2024))*(AP$39&lt;=$E$28)</f>
        <v>0</v>
      </c>
      <c r="AQ62" s="508" cm="1">
        <f t="array" ref="AQ62">IF(AQ$40&gt;2060,0,INDEX(revenueMatrixNew,($E$16-1)*40+$G62+2,AQ$40-2024))*(AQ$39&lt;=$E$28)</f>
        <v>0</v>
      </c>
      <c r="AR62" s="508" cm="1">
        <f t="array" ref="AR62">IF(AR$40&gt;2060,0,INDEX(revenueMatrixNew,($E$16-1)*40+$G62+2,AR$40-2024))*(AR$39&lt;=$E$28)</f>
        <v>0</v>
      </c>
      <c r="AS62" s="508" cm="1">
        <f t="array" ref="AS62">IF(AS$40&gt;2060,0,INDEX(revenueMatrixNew,($E$16-1)*40+$G62+2,AS$40-2024))*(AS$39&lt;=$E$28)</f>
        <v>0</v>
      </c>
      <c r="AT62" s="508" cm="1">
        <f t="array" ref="AT62">IF(AT$40&gt;2060,0,INDEX(revenueMatrixNew,($E$16-1)*40+$G62+2,AT$40-2024))*(AT$39&lt;=$E$28)</f>
        <v>0</v>
      </c>
      <c r="AU62" s="508" cm="1">
        <f t="array" ref="AU62">IF(AU$40&gt;2060,0,INDEX(revenueMatrixNew,($E$16-1)*40+$G62+2,AU$40-2024))*(AU$39&lt;=$E$28)</f>
        <v>0</v>
      </c>
      <c r="AV62" s="508" cm="1">
        <f t="array" ref="AV62">IF(AV$40&gt;2060,0,INDEX(revenueMatrixNew,($E$16-1)*40+$G62+2,AV$40-2024))*(AV$39&lt;=$E$28)</f>
        <v>0</v>
      </c>
      <c r="AW62" s="508" cm="1">
        <f t="array" ref="AW62">IF(AW$40&gt;2060,0,INDEX(revenueMatrixNew,($E$16-1)*40+$G62+2,AW$40-2024))*(AW$39&lt;=$E$28)</f>
        <v>0</v>
      </c>
      <c r="AX62" s="508" cm="1">
        <f t="array" ref="AX62">IF(AX$40&gt;2060,0,INDEX(revenueMatrixNew,($E$16-1)*40+$G62+2,AX$40-2024))*(AX$39&lt;=$E$28)</f>
        <v>0</v>
      </c>
      <c r="AY62" s="508" cm="1">
        <f t="array" ref="AY62">IF(AY$40&gt;2060,0,INDEX(revenueMatrixNew,($E$16-1)*40+$G62+2,AY$40-2024))*(AY$39&lt;=$E$28)</f>
        <v>0</v>
      </c>
      <c r="AZ62" s="508" cm="1">
        <f t="array" ref="AZ62">IF(AZ$40&gt;2060,0,INDEX(revenueMatrixNew,($E$16-1)*40+$G62+2,AZ$40-2024))*(AZ$39&lt;=$E$28)</f>
        <v>0</v>
      </c>
      <c r="BB62" s="163"/>
      <c r="BD62" s="472"/>
      <c r="BE62" s="469"/>
      <c r="BF62" s="469"/>
      <c r="BG62" s="469"/>
      <c r="BH62" s="469"/>
      <c r="BI62" s="469"/>
      <c r="BJ62" s="469"/>
      <c r="BK62" s="469"/>
      <c r="BL62" s="469"/>
      <c r="BM62" s="469"/>
      <c r="BN62" s="469"/>
      <c r="BO62" s="469"/>
      <c r="BP62" s="469"/>
      <c r="BQ62" s="469"/>
      <c r="BR62" s="469"/>
    </row>
    <row r="63" spans="1:70" x14ac:dyDescent="0.3">
      <c r="A63" s="511"/>
      <c r="B63" s="6">
        <v>49</v>
      </c>
      <c r="C63" s="493" t="s">
        <v>88</v>
      </c>
      <c r="D63" s="479" t="s">
        <v>9</v>
      </c>
      <c r="E63" s="204">
        <f>INDEX(InputsMatrix,$E$16,$B63)</f>
        <v>0.29249999999999998</v>
      </c>
      <c r="G63" s="450"/>
      <c r="I63" s="2" t="s">
        <v>103</v>
      </c>
      <c r="J63" t="s">
        <v>7</v>
      </c>
      <c r="K63" s="483">
        <f t="shared" si="8"/>
        <v>8331.4191394676145</v>
      </c>
      <c r="L63" s="530">
        <f t="shared" ref="L63:AZ63" si="9">SUM(L44:L62)</f>
        <v>0</v>
      </c>
      <c r="M63" s="530">
        <f>SUM(M44:M62)</f>
        <v>3002.6560790903977</v>
      </c>
      <c r="N63" s="530">
        <f t="shared" si="9"/>
        <v>969.8463346639362</v>
      </c>
      <c r="O63" s="530">
        <f t="shared" si="9"/>
        <v>848.39798122317279</v>
      </c>
      <c r="P63" s="530">
        <f t="shared" si="9"/>
        <v>889.9459353786533</v>
      </c>
      <c r="Q63" s="530">
        <f t="shared" si="9"/>
        <v>941.06552288199987</v>
      </c>
      <c r="R63" s="530">
        <f t="shared" si="9"/>
        <v>966.89417760271601</v>
      </c>
      <c r="S63" s="530">
        <f t="shared" si="9"/>
        <v>992.72283232343227</v>
      </c>
      <c r="T63" s="530">
        <f t="shared" si="9"/>
        <v>1018.5514870441484</v>
      </c>
      <c r="U63" s="530">
        <f t="shared" si="9"/>
        <v>1044.3801417648647</v>
      </c>
      <c r="V63" s="530">
        <f t="shared" si="9"/>
        <v>1070.2087964855809</v>
      </c>
      <c r="W63" s="530">
        <f t="shared" si="9"/>
        <v>1128.4050797775353</v>
      </c>
      <c r="X63" s="530">
        <f t="shared" si="9"/>
        <v>1186.6013630694899</v>
      </c>
      <c r="Y63" s="530">
        <f t="shared" si="9"/>
        <v>1244.7976463614445</v>
      </c>
      <c r="Z63" s="530">
        <f t="shared" si="9"/>
        <v>1302.9939296533989</v>
      </c>
      <c r="AA63" s="530">
        <f t="shared" si="9"/>
        <v>1361.1902129453536</v>
      </c>
      <c r="AB63" s="530">
        <f t="shared" si="9"/>
        <v>1411.7700763604128</v>
      </c>
      <c r="AC63" s="530">
        <f t="shared" si="9"/>
        <v>1462.3499397754722</v>
      </c>
      <c r="AD63" s="530">
        <f t="shared" si="9"/>
        <v>1512.9298031905312</v>
      </c>
      <c r="AE63" s="530">
        <f t="shared" si="9"/>
        <v>1563.5096666055904</v>
      </c>
      <c r="AF63" s="530">
        <f t="shared" si="9"/>
        <v>1614.0895300206498</v>
      </c>
      <c r="AG63" s="530">
        <f t="shared" si="9"/>
        <v>0</v>
      </c>
      <c r="AH63" s="530">
        <f t="shared" si="9"/>
        <v>0</v>
      </c>
      <c r="AI63" s="530">
        <f t="shared" si="9"/>
        <v>0</v>
      </c>
      <c r="AJ63" s="530">
        <f t="shared" si="9"/>
        <v>0</v>
      </c>
      <c r="AK63" s="530">
        <f t="shared" si="9"/>
        <v>0</v>
      </c>
      <c r="AL63" s="530">
        <f t="shared" si="9"/>
        <v>0</v>
      </c>
      <c r="AM63" s="530">
        <f t="shared" si="9"/>
        <v>0</v>
      </c>
      <c r="AN63" s="530">
        <f t="shared" si="9"/>
        <v>0</v>
      </c>
      <c r="AO63" s="530">
        <f t="shared" si="9"/>
        <v>0</v>
      </c>
      <c r="AP63" s="530">
        <f t="shared" si="9"/>
        <v>0</v>
      </c>
      <c r="AQ63" s="530">
        <f t="shared" si="9"/>
        <v>0</v>
      </c>
      <c r="AR63" s="530">
        <f t="shared" si="9"/>
        <v>0</v>
      </c>
      <c r="AS63" s="530">
        <f t="shared" si="9"/>
        <v>0</v>
      </c>
      <c r="AT63" s="530">
        <f t="shared" si="9"/>
        <v>0</v>
      </c>
      <c r="AU63" s="530">
        <f t="shared" si="9"/>
        <v>0</v>
      </c>
      <c r="AV63" s="530">
        <f t="shared" si="9"/>
        <v>0</v>
      </c>
      <c r="AW63" s="530">
        <f t="shared" si="9"/>
        <v>0</v>
      </c>
      <c r="AX63" s="530">
        <f t="shared" si="9"/>
        <v>0</v>
      </c>
      <c r="AY63" s="530">
        <f t="shared" si="9"/>
        <v>0</v>
      </c>
      <c r="AZ63" s="530">
        <f t="shared" si="9"/>
        <v>0</v>
      </c>
      <c r="BB63" s="163"/>
      <c r="BD63" s="472"/>
      <c r="BE63" s="469"/>
      <c r="BF63" s="469"/>
      <c r="BG63" s="469"/>
      <c r="BH63" s="469"/>
      <c r="BI63" s="469"/>
      <c r="BJ63" s="469"/>
      <c r="BK63" s="469"/>
      <c r="BL63" s="469"/>
      <c r="BM63" s="469"/>
      <c r="BN63" s="469"/>
      <c r="BO63" s="469"/>
      <c r="BP63" s="469"/>
      <c r="BQ63" s="469"/>
      <c r="BR63" s="469"/>
    </row>
    <row r="64" spans="1:70" x14ac:dyDescent="0.3">
      <c r="A64" s="511"/>
      <c r="C64" s="493" t="s">
        <v>89</v>
      </c>
      <c r="D64" s="479" t="s">
        <v>9</v>
      </c>
      <c r="E64" s="328">
        <f>(E56*E62+E60*E55*(1-E63))</f>
        <v>0.125</v>
      </c>
      <c r="G64" s="450"/>
      <c r="I64" s="531"/>
      <c r="K64" s="483"/>
      <c r="L64" s="532"/>
      <c r="M64" s="532"/>
      <c r="N64" s="532"/>
      <c r="O64" s="532"/>
      <c r="P64" s="532"/>
      <c r="Q64" s="532"/>
      <c r="R64" s="532"/>
      <c r="S64" s="532"/>
      <c r="T64" s="532"/>
      <c r="U64" s="532"/>
      <c r="V64" s="532"/>
      <c r="W64" s="532"/>
      <c r="X64" s="532"/>
      <c r="Y64" s="532"/>
      <c r="Z64" s="532"/>
      <c r="AA64" s="532"/>
      <c r="AB64" s="532"/>
      <c r="AC64" s="532"/>
      <c r="AD64" s="532"/>
      <c r="AE64" s="532"/>
      <c r="AF64" s="532"/>
      <c r="AG64" s="532"/>
      <c r="AH64" s="532"/>
      <c r="AI64" s="532"/>
      <c r="AJ64" s="532"/>
      <c r="AK64" s="532"/>
      <c r="AL64" s="532"/>
      <c r="AM64" s="532"/>
      <c r="AN64" s="532"/>
      <c r="AO64" s="532"/>
      <c r="AP64" s="532"/>
      <c r="AQ64" s="532"/>
      <c r="AR64" s="532"/>
      <c r="AS64" s="532"/>
      <c r="AT64" s="532"/>
      <c r="AU64" s="532"/>
      <c r="AV64" s="532"/>
      <c r="AW64" s="532"/>
      <c r="AX64" s="532"/>
      <c r="AY64" s="532"/>
      <c r="AZ64" s="532"/>
      <c r="BB64" s="163"/>
      <c r="BD64" s="472"/>
      <c r="BE64" s="469"/>
      <c r="BF64" s="469"/>
      <c r="BG64" s="469"/>
      <c r="BH64" s="469"/>
      <c r="BI64" s="469"/>
      <c r="BJ64" s="469"/>
      <c r="BK64" s="469"/>
      <c r="BL64" s="469"/>
      <c r="BM64" s="469"/>
      <c r="BN64" s="469"/>
      <c r="BO64" s="469"/>
      <c r="BP64" s="469"/>
      <c r="BQ64" s="469"/>
      <c r="BR64" s="469"/>
    </row>
    <row r="65" spans="1:70" x14ac:dyDescent="0.3">
      <c r="A65" s="495"/>
      <c r="C65" s="490" t="s">
        <v>90</v>
      </c>
      <c r="D65" s="479"/>
      <c r="E65" s="526"/>
      <c r="G65" s="450"/>
      <c r="I65" t="s">
        <v>104</v>
      </c>
      <c r="J65" t="s">
        <v>7</v>
      </c>
      <c r="K65" s="483">
        <f t="shared" ref="K65" si="10">NPV($E$62,L65:AZ65)</f>
        <v>3328.2370370370372</v>
      </c>
      <c r="L65">
        <v>0</v>
      </c>
      <c r="M65" s="434">
        <f>IRR!H24</f>
        <v>4212.3</v>
      </c>
      <c r="N65" s="434">
        <f>IRR!I24</f>
        <v>0</v>
      </c>
      <c r="O65" s="434">
        <f>IRR!J24</f>
        <v>0</v>
      </c>
      <c r="P65" s="434">
        <f>IRR!K24</f>
        <v>0</v>
      </c>
      <c r="Q65" s="434">
        <f>IRR!L24</f>
        <v>0</v>
      </c>
      <c r="R65" s="434">
        <f>IRR!M24</f>
        <v>0</v>
      </c>
      <c r="S65" s="434">
        <f>IRR!N24</f>
        <v>0</v>
      </c>
      <c r="T65" s="434">
        <f>IRR!O24</f>
        <v>0</v>
      </c>
      <c r="U65" s="434">
        <f>IRR!P24</f>
        <v>0</v>
      </c>
      <c r="V65" s="434">
        <f>IRR!Q24</f>
        <v>0</v>
      </c>
      <c r="W65" s="434">
        <f>IRR!R24</f>
        <v>0</v>
      </c>
      <c r="X65" s="434">
        <f>IRR!S24</f>
        <v>0</v>
      </c>
      <c r="Y65" s="434">
        <f>IRR!T24</f>
        <v>0</v>
      </c>
      <c r="Z65" s="434">
        <f>IRR!U24</f>
        <v>0</v>
      </c>
      <c r="AA65" s="434">
        <f>IRR!V24</f>
        <v>0</v>
      </c>
      <c r="AB65" s="434">
        <f>IRR!W24</f>
        <v>0</v>
      </c>
      <c r="AC65" s="434">
        <f>IRR!X24</f>
        <v>0</v>
      </c>
      <c r="AD65" s="434">
        <f>IRR!Y24</f>
        <v>0</v>
      </c>
      <c r="AE65" s="434">
        <f>IRR!Z24</f>
        <v>0</v>
      </c>
      <c r="AF65" s="434">
        <f>IRR!AA24</f>
        <v>0</v>
      </c>
      <c r="AG65" s="434">
        <f>IRR!AB24</f>
        <v>0</v>
      </c>
      <c r="AH65" s="434">
        <f>IRR!AC24</f>
        <v>0</v>
      </c>
      <c r="AI65" s="434">
        <f>IRR!AD24</f>
        <v>0</v>
      </c>
      <c r="AJ65" s="434">
        <f>IRR!AE24</f>
        <v>0</v>
      </c>
      <c r="AK65" s="434">
        <f>IRR!AF24</f>
        <v>0</v>
      </c>
      <c r="AL65" s="434">
        <f>IRR!AG24</f>
        <v>0</v>
      </c>
      <c r="AM65" s="434">
        <f>IRR!AH24</f>
        <v>0</v>
      </c>
      <c r="AN65" s="434">
        <f>IRR!AI24</f>
        <v>0</v>
      </c>
      <c r="AO65" s="434">
        <f>IRR!AJ24</f>
        <v>0</v>
      </c>
      <c r="AP65" s="434">
        <f>IRR!AK24</f>
        <v>0</v>
      </c>
      <c r="AQ65" s="434">
        <f>IRR!AL24</f>
        <v>0</v>
      </c>
      <c r="AR65" s="434">
        <f>IRR!AM24</f>
        <v>0</v>
      </c>
      <c r="AS65" s="434">
        <f>IRR!AN24</f>
        <v>0</v>
      </c>
      <c r="AT65" s="434">
        <f>IRR!AO24</f>
        <v>0</v>
      </c>
      <c r="AU65" s="434">
        <f>IRR!AP24</f>
        <v>0</v>
      </c>
      <c r="AV65" s="434">
        <f>IRR!AQ24</f>
        <v>0</v>
      </c>
      <c r="AW65" s="434">
        <f>IRR!AR24</f>
        <v>0</v>
      </c>
      <c r="AX65" s="434">
        <f>IRR!AS24</f>
        <v>0</v>
      </c>
      <c r="AY65" s="434">
        <f>IRR!AT24</f>
        <v>0</v>
      </c>
      <c r="AZ65" s="434">
        <f>IRR!AU24</f>
        <v>0</v>
      </c>
      <c r="BB65" s="163"/>
      <c r="BD65" s="472"/>
      <c r="BE65" s="469"/>
      <c r="BF65" s="469"/>
      <c r="BG65" s="469"/>
      <c r="BH65" s="469"/>
      <c r="BI65" s="469"/>
      <c r="BJ65" s="469"/>
      <c r="BK65" s="469"/>
      <c r="BL65" s="469"/>
      <c r="BM65" s="469"/>
      <c r="BN65" s="469"/>
      <c r="BO65" s="469"/>
      <c r="BP65" s="469"/>
      <c r="BQ65" s="469"/>
      <c r="BR65" s="469"/>
    </row>
    <row r="66" spans="1:70" x14ac:dyDescent="0.3">
      <c r="A66" s="495"/>
      <c r="B66" s="6">
        <v>52</v>
      </c>
      <c r="C66" s="493" t="s">
        <v>91</v>
      </c>
      <c r="D66" s="479" t="s">
        <v>22</v>
      </c>
      <c r="E66" s="206">
        <f t="shared" ref="E66:E71" si="11">INDEX(InputsMatrix,$E$16,$B66)</f>
        <v>20</v>
      </c>
      <c r="G66" s="450"/>
      <c r="I66" s="2" t="s">
        <v>105</v>
      </c>
      <c r="J66" t="s">
        <v>7</v>
      </c>
      <c r="K66" s="483">
        <f>NPV($E$62,L66:AZ66)</f>
        <v>11659.656176504652</v>
      </c>
      <c r="L66" s="434">
        <f>L63+L65</f>
        <v>0</v>
      </c>
      <c r="M66" s="530">
        <f>M63+M65</f>
        <v>7214.9560790903979</v>
      </c>
      <c r="N66" s="530">
        <f t="shared" ref="N66:AZ66" si="12">N63+N65</f>
        <v>969.8463346639362</v>
      </c>
      <c r="O66" s="530">
        <f t="shared" si="12"/>
        <v>848.39798122317279</v>
      </c>
      <c r="P66" s="530">
        <f t="shared" si="12"/>
        <v>889.9459353786533</v>
      </c>
      <c r="Q66" s="530">
        <f t="shared" si="12"/>
        <v>941.06552288199987</v>
      </c>
      <c r="R66" s="530">
        <f t="shared" si="12"/>
        <v>966.89417760271601</v>
      </c>
      <c r="S66" s="530">
        <f t="shared" si="12"/>
        <v>992.72283232343227</v>
      </c>
      <c r="T66" s="530">
        <f t="shared" si="12"/>
        <v>1018.5514870441484</v>
      </c>
      <c r="U66" s="530">
        <f t="shared" si="12"/>
        <v>1044.3801417648647</v>
      </c>
      <c r="V66" s="530">
        <f t="shared" si="12"/>
        <v>1070.2087964855809</v>
      </c>
      <c r="W66" s="530">
        <f t="shared" si="12"/>
        <v>1128.4050797775353</v>
      </c>
      <c r="X66" s="530">
        <f t="shared" si="12"/>
        <v>1186.6013630694899</v>
      </c>
      <c r="Y66" s="530">
        <f t="shared" si="12"/>
        <v>1244.7976463614445</v>
      </c>
      <c r="Z66" s="530">
        <f t="shared" si="12"/>
        <v>1302.9939296533989</v>
      </c>
      <c r="AA66" s="530">
        <f t="shared" si="12"/>
        <v>1361.1902129453536</v>
      </c>
      <c r="AB66" s="530">
        <f t="shared" si="12"/>
        <v>1411.7700763604128</v>
      </c>
      <c r="AC66" s="530">
        <f t="shared" si="12"/>
        <v>1462.3499397754722</v>
      </c>
      <c r="AD66" s="530">
        <f t="shared" si="12"/>
        <v>1512.9298031905312</v>
      </c>
      <c r="AE66" s="530">
        <f t="shared" si="12"/>
        <v>1563.5096666055904</v>
      </c>
      <c r="AF66" s="530">
        <f t="shared" si="12"/>
        <v>1614.0895300206498</v>
      </c>
      <c r="AG66" s="530">
        <f>AG63+AG65</f>
        <v>0</v>
      </c>
      <c r="AH66" s="530">
        <f t="shared" si="12"/>
        <v>0</v>
      </c>
      <c r="AI66" s="530">
        <f t="shared" si="12"/>
        <v>0</v>
      </c>
      <c r="AJ66" s="530">
        <f t="shared" si="12"/>
        <v>0</v>
      </c>
      <c r="AK66" s="530">
        <f t="shared" si="12"/>
        <v>0</v>
      </c>
      <c r="AL66" s="530">
        <f t="shared" si="12"/>
        <v>0</v>
      </c>
      <c r="AM66" s="530">
        <f t="shared" si="12"/>
        <v>0</v>
      </c>
      <c r="AN66" s="530">
        <f t="shared" si="12"/>
        <v>0</v>
      </c>
      <c r="AO66" s="530">
        <f t="shared" si="12"/>
        <v>0</v>
      </c>
      <c r="AP66" s="530">
        <f t="shared" si="12"/>
        <v>0</v>
      </c>
      <c r="AQ66" s="530">
        <f t="shared" si="12"/>
        <v>0</v>
      </c>
      <c r="AR66" s="530">
        <f t="shared" si="12"/>
        <v>0</v>
      </c>
      <c r="AS66" s="530">
        <f t="shared" si="12"/>
        <v>0</v>
      </c>
      <c r="AT66" s="530">
        <f t="shared" si="12"/>
        <v>0</v>
      </c>
      <c r="AU66" s="530">
        <f t="shared" si="12"/>
        <v>0</v>
      </c>
      <c r="AV66" s="530">
        <f t="shared" si="12"/>
        <v>0</v>
      </c>
      <c r="AW66" s="530">
        <f t="shared" si="12"/>
        <v>0</v>
      </c>
      <c r="AX66" s="530">
        <f t="shared" si="12"/>
        <v>0</v>
      </c>
      <c r="AY66" s="530">
        <f t="shared" si="12"/>
        <v>0</v>
      </c>
      <c r="AZ66" s="530">
        <f t="shared" si="12"/>
        <v>0</v>
      </c>
      <c r="BB66" s="163"/>
      <c r="BD66" s="472"/>
      <c r="BE66" s="469"/>
      <c r="BF66" s="469"/>
      <c r="BG66" s="469"/>
      <c r="BH66" s="469"/>
      <c r="BI66" s="469"/>
      <c r="BJ66" s="469"/>
      <c r="BK66" s="469"/>
      <c r="BL66" s="469"/>
      <c r="BM66" s="469"/>
      <c r="BN66" s="469"/>
      <c r="BO66" s="469"/>
      <c r="BP66" s="469"/>
      <c r="BQ66" s="469"/>
      <c r="BR66" s="469"/>
    </row>
    <row r="67" spans="1:70" x14ac:dyDescent="0.3">
      <c r="A67" s="511"/>
      <c r="B67" s="6">
        <v>53</v>
      </c>
      <c r="C67" s="493" t="s">
        <v>92</v>
      </c>
      <c r="D67" s="479" t="s">
        <v>22</v>
      </c>
      <c r="E67" s="206">
        <f t="shared" si="11"/>
        <v>7</v>
      </c>
      <c r="G67" s="450"/>
      <c r="I67" s="531"/>
      <c r="K67" s="533"/>
      <c r="L67" s="532"/>
      <c r="M67" s="532"/>
      <c r="N67" s="532"/>
      <c r="O67" s="532"/>
      <c r="P67" s="532"/>
      <c r="Q67" s="532"/>
      <c r="R67" s="532"/>
      <c r="S67" s="532"/>
      <c r="T67" s="532"/>
      <c r="U67" s="532"/>
      <c r="V67" s="532"/>
      <c r="W67" s="532"/>
      <c r="X67" s="532"/>
      <c r="Y67" s="532"/>
      <c r="Z67" s="532"/>
      <c r="AA67" s="532"/>
      <c r="AB67" s="532"/>
      <c r="AC67" s="532"/>
      <c r="AD67" s="532"/>
      <c r="AE67" s="532"/>
      <c r="AF67" s="532"/>
      <c r="AG67" s="532"/>
      <c r="AH67" s="532"/>
      <c r="AI67" s="532"/>
      <c r="AJ67" s="532"/>
      <c r="AK67" s="532"/>
      <c r="AL67" s="532"/>
      <c r="AM67" s="532"/>
      <c r="AN67" s="532"/>
      <c r="AO67" s="532"/>
      <c r="AP67" s="532"/>
      <c r="AQ67" s="532"/>
      <c r="AR67" s="532"/>
      <c r="AS67" s="532"/>
      <c r="AT67" s="532"/>
      <c r="AU67" s="532"/>
      <c r="AV67" s="532"/>
      <c r="AW67" s="532"/>
      <c r="AX67" s="532"/>
      <c r="AY67" s="532"/>
      <c r="AZ67" s="532"/>
      <c r="BA67" s="534"/>
      <c r="BB67" s="163"/>
      <c r="BD67" s="472"/>
      <c r="BE67" s="469"/>
      <c r="BF67" s="469"/>
      <c r="BG67" s="469"/>
      <c r="BH67" s="469"/>
      <c r="BI67" s="469"/>
      <c r="BJ67" s="469"/>
      <c r="BK67" s="469"/>
      <c r="BL67" s="469"/>
      <c r="BM67" s="469"/>
      <c r="BN67" s="469"/>
      <c r="BO67" s="469"/>
      <c r="BP67" s="469"/>
      <c r="BQ67" s="469"/>
      <c r="BR67" s="469"/>
    </row>
    <row r="68" spans="1:70" x14ac:dyDescent="0.3">
      <c r="A68" s="511"/>
      <c r="B68" s="6">
        <v>54</v>
      </c>
      <c r="C68" s="493" t="s">
        <v>93</v>
      </c>
      <c r="D68" s="474" t="s">
        <v>94</v>
      </c>
      <c r="E68" s="206">
        <f t="shared" si="11"/>
        <v>0</v>
      </c>
      <c r="G68" s="450"/>
      <c r="I68" s="2"/>
      <c r="K68" s="535"/>
      <c r="M68" s="530"/>
      <c r="N68" s="530"/>
      <c r="O68" s="530"/>
      <c r="P68" s="530"/>
      <c r="Q68" s="530"/>
      <c r="R68" s="530"/>
      <c r="S68" s="530"/>
      <c r="T68" s="530"/>
      <c r="U68" s="530"/>
      <c r="V68" s="530"/>
      <c r="W68" s="530"/>
      <c r="X68" s="530"/>
      <c r="Y68" s="530"/>
      <c r="Z68" s="530"/>
      <c r="AA68" s="530"/>
      <c r="AB68" s="530"/>
      <c r="AC68" s="530"/>
      <c r="AD68" s="530"/>
      <c r="AE68" s="530"/>
      <c r="AF68" s="530"/>
      <c r="AG68" s="530"/>
      <c r="AH68" s="530"/>
      <c r="AI68" s="530"/>
      <c r="AJ68" s="530"/>
      <c r="AK68" s="530"/>
      <c r="AL68" s="530"/>
      <c r="AM68" s="530"/>
      <c r="AN68" s="530"/>
      <c r="AO68" s="530"/>
      <c r="AP68" s="530"/>
      <c r="AQ68" s="530"/>
      <c r="AR68" s="530"/>
      <c r="AS68" s="530"/>
      <c r="AT68" s="530"/>
      <c r="AU68" s="530"/>
      <c r="AV68" s="530"/>
      <c r="AW68" s="530"/>
      <c r="AX68" s="530"/>
      <c r="AY68" s="530"/>
      <c r="AZ68" s="530"/>
      <c r="BB68" s="163"/>
      <c r="BD68" s="472"/>
      <c r="BE68" s="469"/>
      <c r="BF68" s="469"/>
      <c r="BG68" s="469"/>
      <c r="BH68" s="469"/>
      <c r="BI68" s="469"/>
      <c r="BJ68" s="469"/>
      <c r="BK68" s="469"/>
      <c r="BL68" s="469"/>
      <c r="BM68" s="469"/>
      <c r="BN68" s="469"/>
      <c r="BO68" s="469"/>
      <c r="BP68" s="469"/>
      <c r="BQ68" s="469"/>
      <c r="BR68" s="469"/>
    </row>
    <row r="69" spans="1:70" x14ac:dyDescent="0.3">
      <c r="A69" s="511"/>
      <c r="B69" s="6">
        <v>55</v>
      </c>
      <c r="C69" s="493" t="s">
        <v>95</v>
      </c>
      <c r="D69" s="479" t="s">
        <v>9</v>
      </c>
      <c r="E69" s="204">
        <f t="shared" si="11"/>
        <v>0.12</v>
      </c>
      <c r="G69" s="450"/>
      <c r="I69" s="536" t="s">
        <v>525</v>
      </c>
      <c r="J69" t="s">
        <v>7</v>
      </c>
      <c r="K69" s="537">
        <f>K63</f>
        <v>8331.4191394676145</v>
      </c>
      <c r="L69" s="323"/>
      <c r="M69" s="434"/>
      <c r="N69" s="434"/>
      <c r="O69" s="434"/>
      <c r="P69" s="434"/>
      <c r="Q69" s="434"/>
      <c r="R69" s="434"/>
      <c r="S69" s="434"/>
      <c r="T69" s="434"/>
      <c r="U69" s="434"/>
      <c r="V69" s="434"/>
      <c r="W69" s="434"/>
      <c r="X69" s="434"/>
      <c r="Y69" s="434"/>
      <c r="Z69" s="434"/>
      <c r="AA69" s="434"/>
      <c r="AB69" s="434"/>
      <c r="AC69" s="434"/>
      <c r="AD69" s="434"/>
      <c r="AE69" s="434"/>
      <c r="AF69" s="434"/>
      <c r="BB69" s="163"/>
      <c r="BD69" s="472"/>
      <c r="BE69" s="469"/>
      <c r="BF69" s="469"/>
      <c r="BG69" s="469"/>
      <c r="BH69" s="469"/>
      <c r="BI69" s="469"/>
      <c r="BJ69" s="469"/>
      <c r="BK69" s="469"/>
      <c r="BL69" s="469"/>
      <c r="BM69" s="469"/>
      <c r="BN69" s="469"/>
      <c r="BO69" s="469"/>
      <c r="BP69" s="469"/>
      <c r="BQ69" s="469"/>
      <c r="BR69" s="469"/>
    </row>
    <row r="70" spans="1:70" x14ac:dyDescent="0.3">
      <c r="A70" s="495"/>
      <c r="B70" s="6">
        <v>56</v>
      </c>
      <c r="C70" s="493"/>
      <c r="D70" s="479"/>
      <c r="E70" s="204"/>
      <c r="G70" s="450"/>
      <c r="I70" s="538" t="s">
        <v>526</v>
      </c>
      <c r="J70" t="s">
        <v>7</v>
      </c>
      <c r="K70" s="539">
        <f>K66</f>
        <v>11659.656176504652</v>
      </c>
      <c r="BB70" s="163"/>
      <c r="BD70" s="472"/>
      <c r="BE70" s="469"/>
      <c r="BF70" s="469"/>
      <c r="BG70" s="469"/>
      <c r="BH70" s="469"/>
      <c r="BI70" s="469"/>
      <c r="BJ70" s="469"/>
      <c r="BK70" s="469"/>
      <c r="BL70" s="469"/>
      <c r="BM70" s="469"/>
      <c r="BN70" s="469"/>
      <c r="BO70" s="469"/>
      <c r="BP70" s="469"/>
      <c r="BQ70" s="469"/>
      <c r="BR70" s="469"/>
    </row>
    <row r="71" spans="1:70" x14ac:dyDescent="0.3">
      <c r="A71" s="495"/>
      <c r="B71" s="6">
        <v>57</v>
      </c>
      <c r="C71" s="493" t="s">
        <v>96</v>
      </c>
      <c r="D71" s="479" t="s">
        <v>97</v>
      </c>
      <c r="E71" s="204">
        <f t="shared" si="11"/>
        <v>0.3</v>
      </c>
      <c r="G71" s="450"/>
      <c r="I71" s="2"/>
      <c r="J71" s="540"/>
      <c r="BB71" s="163"/>
      <c r="BD71" s="472"/>
      <c r="BE71" s="469"/>
      <c r="BF71" s="469"/>
      <c r="BG71" s="469"/>
      <c r="BH71" s="469"/>
      <c r="BI71" s="469"/>
      <c r="BJ71" s="469"/>
      <c r="BK71" s="469"/>
      <c r="BL71" s="469"/>
      <c r="BM71" s="469"/>
      <c r="BN71" s="469"/>
      <c r="BO71" s="469"/>
      <c r="BP71" s="469"/>
      <c r="BQ71" s="469"/>
      <c r="BR71" s="469"/>
    </row>
    <row r="72" spans="1:70" x14ac:dyDescent="0.3">
      <c r="A72" s="495"/>
      <c r="B72" s="6">
        <v>58</v>
      </c>
      <c r="C72" s="493" t="s">
        <v>98</v>
      </c>
      <c r="D72" s="479" t="s">
        <v>22</v>
      </c>
      <c r="E72" s="206">
        <f>INDEX(InputsMatrix,$E$16,$B72)</f>
        <v>1</v>
      </c>
      <c r="G72" s="450"/>
      <c r="BB72" s="163"/>
      <c r="BD72" s="472"/>
      <c r="BE72" s="469"/>
      <c r="BF72" s="469"/>
      <c r="BG72" s="469"/>
      <c r="BH72" s="469"/>
      <c r="BI72" s="469"/>
      <c r="BJ72" s="469"/>
      <c r="BK72" s="469"/>
      <c r="BL72" s="469"/>
      <c r="BM72" s="469"/>
      <c r="BN72" s="469"/>
      <c r="BO72" s="469"/>
      <c r="BP72" s="469"/>
      <c r="BQ72" s="469"/>
      <c r="BR72" s="469"/>
    </row>
    <row r="73" spans="1:70" x14ac:dyDescent="0.3">
      <c r="A73" s="495"/>
      <c r="B73" s="6">
        <v>59</v>
      </c>
      <c r="C73" s="541" t="s">
        <v>560</v>
      </c>
      <c r="D73" s="518" t="s">
        <v>9</v>
      </c>
      <c r="E73" s="250">
        <f>INDEX(InputsMatrix,$E$16,$B73)</f>
        <v>0.5</v>
      </c>
      <c r="G73" s="450"/>
      <c r="J73" s="3"/>
      <c r="BB73" s="163"/>
      <c r="BD73" s="472"/>
      <c r="BE73" s="469"/>
      <c r="BF73" s="469"/>
      <c r="BG73" s="469"/>
      <c r="BH73" s="469"/>
      <c r="BI73" s="469"/>
      <c r="BJ73" s="469"/>
      <c r="BK73" s="469"/>
      <c r="BL73" s="469"/>
      <c r="BM73" s="469"/>
      <c r="BN73" s="469"/>
      <c r="BO73" s="469"/>
      <c r="BP73" s="469"/>
      <c r="BQ73" s="469"/>
      <c r="BR73" s="469"/>
    </row>
    <row r="74" spans="1:70" x14ac:dyDescent="0.3">
      <c r="A74" s="511"/>
      <c r="G74" s="450"/>
      <c r="H74" s="2"/>
      <c r="BB74" s="163"/>
      <c r="BD74" s="472"/>
      <c r="BE74" s="469"/>
      <c r="BF74" s="469"/>
      <c r="BG74" s="469"/>
      <c r="BH74" s="469"/>
      <c r="BI74" s="469"/>
      <c r="BJ74" s="469"/>
      <c r="BK74" s="469"/>
      <c r="BL74" s="469"/>
      <c r="BM74" s="469"/>
      <c r="BN74" s="469"/>
      <c r="BO74" s="469"/>
      <c r="BP74" s="469"/>
      <c r="BQ74" s="469"/>
      <c r="BR74" s="469"/>
    </row>
    <row r="75" spans="1:70" x14ac:dyDescent="0.3">
      <c r="A75" s="542"/>
      <c r="B75" s="482"/>
      <c r="C75" s="482"/>
      <c r="D75" s="482"/>
      <c r="E75" s="482"/>
      <c r="F75" s="543"/>
      <c r="G75" s="544"/>
      <c r="H75" s="545"/>
      <c r="I75" s="545"/>
      <c r="J75" s="545"/>
      <c r="K75" s="545"/>
      <c r="L75" s="545"/>
      <c r="M75" s="545"/>
      <c r="N75" s="545"/>
      <c r="O75" s="545"/>
      <c r="P75" s="545"/>
      <c r="Q75" s="545"/>
      <c r="R75" s="545"/>
      <c r="S75" s="545"/>
      <c r="T75" s="545"/>
      <c r="U75" s="545"/>
      <c r="V75" s="545"/>
      <c r="W75" s="545"/>
      <c r="X75" s="545"/>
      <c r="Y75" s="545"/>
      <c r="Z75" s="545"/>
      <c r="AA75" s="545"/>
      <c r="AB75" s="545"/>
      <c r="AC75" s="545"/>
      <c r="AD75" s="545"/>
      <c r="AE75" s="545"/>
      <c r="AF75" s="545"/>
      <c r="AG75" s="545"/>
      <c r="AH75" s="545"/>
      <c r="AI75" s="545"/>
      <c r="AJ75" s="545"/>
      <c r="AK75" s="545"/>
      <c r="AL75" s="545"/>
      <c r="AM75" s="545"/>
      <c r="AN75" s="545"/>
      <c r="AO75" s="545"/>
      <c r="AP75" s="545"/>
      <c r="AQ75" s="545"/>
      <c r="AR75" s="545"/>
      <c r="AS75" s="545"/>
      <c r="AT75" s="545"/>
      <c r="AU75" s="545"/>
      <c r="AV75" s="545"/>
      <c r="AW75" s="545"/>
      <c r="AX75" s="545"/>
      <c r="AY75" s="545"/>
      <c r="AZ75" s="545"/>
      <c r="BA75" s="545"/>
      <c r="BB75" s="543"/>
      <c r="BD75" s="472"/>
      <c r="BE75" s="469"/>
      <c r="BF75" s="469"/>
      <c r="BG75" s="469"/>
      <c r="BH75" s="469"/>
      <c r="BI75" s="469"/>
      <c r="BJ75" s="469"/>
      <c r="BK75" s="469"/>
      <c r="BL75" s="469"/>
      <c r="BM75" s="469"/>
      <c r="BN75" s="469"/>
      <c r="BO75" s="469"/>
      <c r="BP75" s="469"/>
      <c r="BQ75" s="469"/>
      <c r="BR75" s="469"/>
    </row>
    <row r="76" spans="1:70" x14ac:dyDescent="0.3">
      <c r="A76" s="511"/>
      <c r="BD76" s="472"/>
      <c r="BE76" s="469"/>
      <c r="BF76" s="469"/>
      <c r="BG76" s="469"/>
      <c r="BH76" s="469"/>
      <c r="BI76" s="469"/>
      <c r="BJ76" s="469"/>
      <c r="BK76" s="469"/>
      <c r="BL76" s="469"/>
      <c r="BM76" s="469"/>
      <c r="BN76" s="469"/>
      <c r="BO76" s="469"/>
      <c r="BP76" s="469"/>
      <c r="BQ76" s="469"/>
      <c r="BR76" s="469"/>
    </row>
    <row r="77" spans="1:70" customFormat="1" x14ac:dyDescent="0.3">
      <c r="A77" s="511"/>
      <c r="BC77" s="195"/>
      <c r="BD77" s="546"/>
      <c r="BE77" s="306"/>
      <c r="BF77" s="306"/>
      <c r="BG77" s="306"/>
      <c r="BH77" s="306"/>
      <c r="BI77" s="306"/>
      <c r="BJ77" s="306"/>
      <c r="BK77" s="306"/>
      <c r="BL77" s="306"/>
      <c r="BM77" s="306"/>
      <c r="BN77" s="306"/>
      <c r="BO77" s="306"/>
      <c r="BP77" s="306"/>
      <c r="BQ77" s="306"/>
      <c r="BR77" s="306"/>
    </row>
    <row r="78" spans="1:70" x14ac:dyDescent="0.3">
      <c r="A78" s="511"/>
      <c r="BD78" s="472"/>
      <c r="BE78" s="469"/>
      <c r="BF78" s="469"/>
      <c r="BG78" s="469"/>
      <c r="BH78" s="469"/>
      <c r="BI78" s="469"/>
      <c r="BJ78" s="469"/>
      <c r="BK78" s="469"/>
      <c r="BL78" s="469"/>
      <c r="BM78" s="469"/>
      <c r="BN78" s="469"/>
      <c r="BO78" s="469"/>
      <c r="BP78" s="469"/>
      <c r="BQ78" s="469"/>
      <c r="BR78" s="469"/>
    </row>
    <row r="79" spans="1:70" x14ac:dyDescent="0.3">
      <c r="A79" s="495"/>
      <c r="BD79" s="472"/>
      <c r="BE79" s="469"/>
      <c r="BF79" s="469"/>
      <c r="BG79" s="469"/>
      <c r="BH79" s="469"/>
      <c r="BI79" s="469"/>
      <c r="BJ79" s="469"/>
      <c r="BK79" s="469"/>
      <c r="BL79" s="469"/>
      <c r="BM79" s="469"/>
      <c r="BN79" s="469"/>
      <c r="BO79" s="469"/>
      <c r="BP79" s="469"/>
      <c r="BQ79" s="469"/>
      <c r="BR79" s="469"/>
    </row>
    <row r="80" spans="1:70" x14ac:dyDescent="0.3">
      <c r="A80" s="495"/>
      <c r="BD80" s="472"/>
      <c r="BE80" s="469"/>
      <c r="BF80" s="469"/>
      <c r="BG80" s="469"/>
      <c r="BH80" s="469"/>
      <c r="BI80" s="469"/>
      <c r="BJ80" s="469"/>
      <c r="BK80" s="469"/>
      <c r="BL80" s="469"/>
      <c r="BM80" s="469"/>
      <c r="BN80" s="469"/>
      <c r="BO80" s="469"/>
      <c r="BP80" s="469"/>
      <c r="BQ80" s="469"/>
      <c r="BR80" s="469"/>
    </row>
    <row r="81" spans="1:70" x14ac:dyDescent="0.3">
      <c r="A81" s="495"/>
      <c r="BD81" s="472"/>
      <c r="BE81" s="469"/>
      <c r="BF81" s="469"/>
      <c r="BG81" s="469"/>
      <c r="BH81" s="469"/>
      <c r="BI81" s="469"/>
      <c r="BJ81" s="469"/>
      <c r="BK81" s="469"/>
      <c r="BL81" s="469"/>
      <c r="BM81" s="469"/>
      <c r="BN81" s="469"/>
      <c r="BO81" s="469"/>
      <c r="BP81" s="469"/>
      <c r="BQ81" s="469"/>
      <c r="BR81" s="469"/>
    </row>
    <row r="82" spans="1:70" x14ac:dyDescent="0.3">
      <c r="A82" s="495"/>
      <c r="BD82" s="472"/>
      <c r="BE82" s="469"/>
      <c r="BF82" s="469"/>
      <c r="BG82" s="469"/>
      <c r="BH82" s="469"/>
      <c r="BI82" s="469"/>
      <c r="BJ82" s="469"/>
      <c r="BK82" s="469"/>
      <c r="BL82" s="469"/>
      <c r="BM82" s="469"/>
      <c r="BN82" s="469"/>
      <c r="BO82" s="469"/>
      <c r="BP82" s="469"/>
      <c r="BQ82" s="469"/>
      <c r="BR82" s="469"/>
    </row>
    <row r="83" spans="1:70" x14ac:dyDescent="0.3">
      <c r="A83" s="495"/>
      <c r="BD83" s="472"/>
      <c r="BE83" s="469"/>
      <c r="BF83" s="469"/>
      <c r="BG83" s="469"/>
      <c r="BH83" s="469"/>
      <c r="BI83" s="469"/>
      <c r="BJ83" s="469"/>
      <c r="BK83" s="469"/>
      <c r="BL83" s="469"/>
      <c r="BM83" s="469"/>
      <c r="BN83" s="469"/>
      <c r="BO83" s="469"/>
      <c r="BP83" s="469"/>
      <c r="BQ83" s="469"/>
      <c r="BR83" s="469"/>
    </row>
    <row r="84" spans="1:70" x14ac:dyDescent="0.3">
      <c r="A84" s="511"/>
      <c r="BD84" s="472"/>
      <c r="BE84" s="469"/>
      <c r="BF84" s="469"/>
      <c r="BG84" s="469"/>
      <c r="BH84" s="469"/>
      <c r="BI84" s="469"/>
      <c r="BJ84" s="469"/>
      <c r="BK84" s="469"/>
      <c r="BL84" s="469"/>
      <c r="BM84" s="469"/>
      <c r="BN84" s="469"/>
      <c r="BO84" s="469"/>
      <c r="BP84" s="469"/>
      <c r="BQ84" s="469"/>
      <c r="BR84" s="469"/>
    </row>
    <row r="85" spans="1:70" x14ac:dyDescent="0.3">
      <c r="A85" s="511"/>
      <c r="BD85" s="472"/>
      <c r="BE85" s="469"/>
      <c r="BF85" s="469"/>
      <c r="BG85" s="469"/>
      <c r="BH85" s="469"/>
      <c r="BI85" s="469"/>
      <c r="BJ85" s="469"/>
      <c r="BK85" s="469"/>
      <c r="BL85" s="469"/>
      <c r="BM85" s="469"/>
      <c r="BN85" s="469"/>
      <c r="BO85" s="469"/>
      <c r="BP85" s="469"/>
      <c r="BQ85" s="469"/>
      <c r="BR85" s="469"/>
    </row>
    <row r="86" spans="1:70" x14ac:dyDescent="0.3">
      <c r="A86" s="495"/>
      <c r="BD86" s="472"/>
      <c r="BE86" s="469"/>
      <c r="BF86" s="469"/>
      <c r="BG86" s="469"/>
      <c r="BH86" s="469"/>
      <c r="BI86" s="469"/>
      <c r="BJ86" s="469"/>
      <c r="BK86" s="469"/>
      <c r="BL86" s="469"/>
      <c r="BM86" s="469"/>
      <c r="BN86" s="469"/>
      <c r="BO86" s="469"/>
      <c r="BP86" s="469"/>
      <c r="BQ86" s="469"/>
      <c r="BR86" s="469"/>
    </row>
    <row r="87" spans="1:70" x14ac:dyDescent="0.3">
      <c r="A87" s="495"/>
      <c r="BD87" s="472"/>
      <c r="BE87" s="469"/>
      <c r="BF87" s="469"/>
      <c r="BG87" s="469"/>
      <c r="BH87" s="469"/>
      <c r="BI87" s="469"/>
      <c r="BJ87" s="469"/>
      <c r="BK87" s="469"/>
      <c r="BL87" s="469"/>
      <c r="BM87" s="469"/>
      <c r="BN87" s="469"/>
      <c r="BO87" s="469"/>
      <c r="BP87" s="469"/>
      <c r="BQ87" s="469"/>
      <c r="BR87" s="469"/>
    </row>
    <row r="88" spans="1:70" x14ac:dyDescent="0.3">
      <c r="A88" s="495"/>
      <c r="BD88" s="472"/>
      <c r="BE88" s="469"/>
      <c r="BF88" s="469"/>
      <c r="BG88" s="469"/>
      <c r="BH88" s="469"/>
      <c r="BI88" s="469"/>
      <c r="BJ88" s="469"/>
      <c r="BK88" s="469"/>
      <c r="BL88" s="469"/>
      <c r="BM88" s="469"/>
      <c r="BN88" s="469"/>
      <c r="BO88" s="469"/>
      <c r="BP88" s="469"/>
      <c r="BQ88" s="469"/>
      <c r="BR88" s="469"/>
    </row>
    <row r="89" spans="1:70" x14ac:dyDescent="0.3">
      <c r="A89" s="495"/>
      <c r="BD89" s="472"/>
      <c r="BE89" s="469"/>
      <c r="BF89" s="469"/>
      <c r="BG89" s="469"/>
      <c r="BH89" s="469"/>
      <c r="BI89" s="469"/>
      <c r="BJ89" s="469"/>
      <c r="BK89" s="469"/>
      <c r="BL89" s="469"/>
      <c r="BM89" s="469"/>
      <c r="BN89" s="469"/>
      <c r="BO89" s="469"/>
      <c r="BP89" s="469"/>
      <c r="BQ89" s="469"/>
      <c r="BR89" s="469"/>
    </row>
    <row r="90" spans="1:70" x14ac:dyDescent="0.3">
      <c r="A90" s="495"/>
      <c r="BD90" s="472"/>
      <c r="BE90" s="469"/>
      <c r="BF90" s="469"/>
      <c r="BG90" s="469"/>
      <c r="BH90" s="469"/>
      <c r="BI90" s="469"/>
      <c r="BJ90" s="469"/>
      <c r="BK90" s="469"/>
      <c r="BL90" s="469"/>
      <c r="BM90" s="469"/>
      <c r="BN90" s="469"/>
      <c r="BO90" s="469"/>
      <c r="BP90" s="469"/>
      <c r="BQ90" s="469"/>
      <c r="BR90" s="469"/>
    </row>
    <row r="91" spans="1:70" x14ac:dyDescent="0.3">
      <c r="A91" s="495"/>
      <c r="BD91" s="472"/>
      <c r="BE91" s="469"/>
      <c r="BF91" s="469"/>
      <c r="BG91" s="469"/>
      <c r="BH91" s="469"/>
      <c r="BI91" s="469"/>
      <c r="BJ91" s="469"/>
      <c r="BK91" s="469"/>
      <c r="BL91" s="469"/>
      <c r="BM91" s="469"/>
      <c r="BN91" s="469"/>
      <c r="BO91" s="469"/>
      <c r="BP91" s="469"/>
      <c r="BQ91" s="469"/>
      <c r="BR91" s="469"/>
    </row>
    <row r="92" spans="1:70" x14ac:dyDescent="0.3">
      <c r="A92" s="495"/>
      <c r="BD92" s="472"/>
      <c r="BE92" s="469"/>
      <c r="BF92" s="469"/>
      <c r="BG92" s="469"/>
      <c r="BH92" s="469"/>
      <c r="BI92" s="469"/>
      <c r="BJ92" s="469"/>
      <c r="BK92" s="469"/>
      <c r="BL92" s="469"/>
      <c r="BM92" s="469"/>
      <c r="BN92" s="469"/>
      <c r="BO92" s="469"/>
      <c r="BP92" s="469"/>
      <c r="BQ92" s="469"/>
      <c r="BR92" s="469"/>
    </row>
    <row r="93" spans="1:70" x14ac:dyDescent="0.3">
      <c r="A93" s="495"/>
      <c r="BD93" s="472"/>
      <c r="BE93" s="469"/>
      <c r="BF93" s="469"/>
      <c r="BG93" s="469"/>
      <c r="BH93" s="469"/>
      <c r="BI93" s="469"/>
      <c r="BJ93" s="469"/>
      <c r="BK93" s="469"/>
      <c r="BL93" s="469"/>
      <c r="BM93" s="469"/>
      <c r="BN93" s="469"/>
      <c r="BO93" s="469"/>
      <c r="BP93" s="469"/>
      <c r="BQ93" s="469"/>
      <c r="BR93" s="469"/>
    </row>
    <row r="94" spans="1:70" x14ac:dyDescent="0.3">
      <c r="BD94" s="472"/>
      <c r="BE94" s="469"/>
      <c r="BF94" s="469"/>
      <c r="BG94" s="469"/>
      <c r="BH94" s="469"/>
      <c r="BI94" s="469"/>
      <c r="BJ94" s="469"/>
      <c r="BK94" s="469"/>
      <c r="BL94" s="469"/>
      <c r="BM94" s="469"/>
      <c r="BN94" s="469"/>
      <c r="BO94" s="469"/>
      <c r="BP94" s="469"/>
      <c r="BQ94" s="469"/>
      <c r="BR94" s="469"/>
    </row>
    <row r="95" spans="1:70" x14ac:dyDescent="0.3">
      <c r="A95" s="6"/>
      <c r="BD95" s="472"/>
      <c r="BE95" s="469"/>
      <c r="BF95" s="469"/>
      <c r="BG95" s="469"/>
      <c r="BH95" s="469"/>
      <c r="BI95" s="469"/>
      <c r="BJ95" s="469"/>
      <c r="BK95" s="469"/>
      <c r="BL95" s="469"/>
      <c r="BM95" s="469"/>
      <c r="BN95" s="469"/>
      <c r="BO95" s="469"/>
      <c r="BP95" s="469"/>
      <c r="BQ95" s="469"/>
      <c r="BR95" s="469"/>
    </row>
    <row r="96" spans="1:70" x14ac:dyDescent="0.3">
      <c r="BD96" s="472"/>
      <c r="BE96" s="469"/>
      <c r="BF96" s="469"/>
      <c r="BG96" s="469"/>
      <c r="BH96" s="469"/>
      <c r="BI96" s="469"/>
      <c r="BJ96" s="469"/>
      <c r="BK96" s="469"/>
      <c r="BL96" s="469"/>
      <c r="BM96" s="469"/>
      <c r="BN96" s="469"/>
      <c r="BO96" s="469"/>
      <c r="BP96" s="469"/>
      <c r="BQ96" s="469"/>
      <c r="BR96" s="469"/>
    </row>
    <row r="97" spans="56:70" x14ac:dyDescent="0.3">
      <c r="BD97" s="472"/>
      <c r="BE97" s="469"/>
      <c r="BF97" s="469"/>
      <c r="BG97" s="469"/>
      <c r="BH97" s="469"/>
      <c r="BI97" s="469"/>
      <c r="BJ97" s="469"/>
      <c r="BK97" s="469"/>
      <c r="BL97" s="469"/>
      <c r="BM97" s="469"/>
      <c r="BN97" s="469"/>
      <c r="BO97" s="469"/>
      <c r="BP97" s="469"/>
      <c r="BQ97" s="469"/>
      <c r="BR97" s="469"/>
    </row>
    <row r="98" spans="56:70" x14ac:dyDescent="0.3">
      <c r="BD98" s="472"/>
      <c r="BE98" s="469"/>
      <c r="BF98" s="469"/>
      <c r="BG98" s="469"/>
      <c r="BH98" s="469"/>
      <c r="BI98" s="469"/>
      <c r="BJ98" s="469"/>
      <c r="BK98" s="469"/>
      <c r="BL98" s="469"/>
      <c r="BM98" s="469"/>
      <c r="BN98" s="469"/>
      <c r="BO98" s="469"/>
      <c r="BP98" s="469"/>
      <c r="BQ98" s="469"/>
      <c r="BR98" s="469"/>
    </row>
    <row r="99" spans="56:70" x14ac:dyDescent="0.3">
      <c r="BD99" s="472"/>
      <c r="BE99" s="469"/>
      <c r="BF99" s="469"/>
      <c r="BG99" s="469"/>
      <c r="BH99" s="469"/>
      <c r="BI99" s="469"/>
      <c r="BJ99" s="469"/>
      <c r="BK99" s="469"/>
      <c r="BL99" s="469"/>
      <c r="BM99" s="469"/>
      <c r="BN99" s="469"/>
      <c r="BO99" s="469"/>
      <c r="BP99" s="469"/>
      <c r="BQ99" s="469"/>
      <c r="BR99" s="469"/>
    </row>
  </sheetData>
  <sheetProtection algorithmName="SHA-512" hashValue="SVBWkvwDN0Ujh7IttkMJd2ydIdh6NuL/BlRdBDYZammOH4ZjWj9vQ+Uf5UrUpoB8NKVO7lGmPAWJMbnIP1R2pQ==" saltValue="93lxQE9W2MrQnbfUOh4ghA==" spinCount="100000" sheet="1" objects="1" scenarios="1" selectLockedCells="1"/>
  <mergeCells count="9">
    <mergeCell ref="BE18:BM18"/>
    <mergeCell ref="D7:F7"/>
    <mergeCell ref="A1:BL1"/>
    <mergeCell ref="I3:K3"/>
    <mergeCell ref="I7:K7"/>
    <mergeCell ref="D3:E3"/>
    <mergeCell ref="C17:C18"/>
    <mergeCell ref="D17:D18"/>
    <mergeCell ref="E17:E18"/>
  </mergeCells>
  <phoneticPr fontId="25" type="noConversion"/>
  <conditionalFormatting sqref="D17:D18">
    <cfRule type="containsText" dxfId="5" priority="1" operator="containsText" text="Error">
      <formula>NOT(ISERROR(SEARCH("Error",D17)))</formula>
    </cfRule>
    <cfRule type="containsText" dxfId="4" priority="2" operator="containsText" text="Ok">
      <formula>NOT(ISERROR(SEARCH("Ok",D17)))</formula>
    </cfRule>
  </conditionalFormatting>
  <dataValidations count="2">
    <dataValidation type="list" allowBlank="1" showInputMessage="1" showErrorMessage="1" sqref="E26" xr:uid="{9FF54C1B-7DCB-4802-9C55-437E26CB58A5}">
      <formula1>"Y,N"</formula1>
    </dataValidation>
    <dataValidation type="list" allowBlank="1" showInputMessage="1" showErrorMessage="1" sqref="E25" xr:uid="{00000000-0002-0000-0300-000003000000}">
      <formula1>"2028"</formula1>
    </dataValidation>
  </dataValidations>
  <pageMargins left="0.7" right="0.7" top="0.75" bottom="0.75" header="0.3" footer="0.3"/>
  <pageSetup scale="12"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Inputs!$B$10:$B$39</xm:f>
          </x14:formula1>
          <xm:sqref>E16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2F592-94E7-4904-A5A7-284B2F4FBEC1}">
  <sheetPr codeName="Sheet8">
    <tabColor theme="7" tint="0.59999389629810485"/>
  </sheetPr>
  <dimension ref="A1:AX105"/>
  <sheetViews>
    <sheetView zoomScale="63" zoomScaleNormal="40" workbookViewId="0">
      <selection activeCell="V32" sqref="V32"/>
    </sheetView>
  </sheetViews>
  <sheetFormatPr defaultColWidth="8.88671875" defaultRowHeight="14.4" zeroHeight="1" x14ac:dyDescent="0.3"/>
  <cols>
    <col min="1" max="1" width="8.88671875" style="195" customWidth="1"/>
    <col min="2" max="2" width="6.5546875" style="195" customWidth="1"/>
    <col min="3" max="3" width="14.33203125" style="195" bestFit="1" customWidth="1"/>
    <col min="4" max="8" width="8.88671875" style="195" customWidth="1"/>
    <col min="9" max="9" width="21.6640625" style="195" customWidth="1"/>
    <col min="10" max="10" width="55.5546875" style="195" customWidth="1"/>
    <col min="11" max="11" width="19.6640625" style="195" customWidth="1"/>
    <col min="12" max="12" width="8.88671875" style="195" customWidth="1"/>
    <col min="13" max="13" width="11.6640625" style="195" customWidth="1"/>
    <col min="14" max="19" width="8.88671875" style="195" customWidth="1"/>
    <col min="20" max="20" width="8.33203125" style="195" customWidth="1"/>
    <col min="21" max="21" width="4.88671875" style="195" customWidth="1"/>
    <col min="22" max="22" width="8.88671875" style="195" customWidth="1"/>
    <col min="23" max="23" width="54.109375" style="195" bestFit="1" customWidth="1"/>
    <col min="24" max="24" width="62.88671875" style="195" customWidth="1"/>
    <col min="25" max="25" width="18.88671875" style="195" bestFit="1" customWidth="1"/>
    <col min="26" max="26" width="40.6640625" style="195" customWidth="1"/>
    <col min="27" max="27" width="33.33203125" style="195" bestFit="1" customWidth="1"/>
    <col min="28" max="46" width="14.6640625" style="195" customWidth="1"/>
    <col min="47" max="16384" width="8.88671875" style="195"/>
  </cols>
  <sheetData>
    <row r="1" spans="1:45" ht="28.2" x14ac:dyDescent="0.5">
      <c r="A1" s="990" t="s">
        <v>620</v>
      </c>
      <c r="B1" s="990"/>
      <c r="C1" s="990"/>
      <c r="D1" s="990"/>
      <c r="E1" s="990"/>
      <c r="F1" s="990"/>
      <c r="G1" s="990"/>
      <c r="H1" s="990"/>
      <c r="I1" s="990"/>
      <c r="J1" s="990"/>
      <c r="K1" s="990"/>
      <c r="L1" s="990"/>
      <c r="M1" s="990"/>
      <c r="N1" s="990"/>
      <c r="O1" s="990"/>
      <c r="P1" s="990"/>
      <c r="Q1" s="990"/>
      <c r="R1" s="990"/>
      <c r="S1" s="990"/>
      <c r="T1" s="990"/>
      <c r="U1" s="990"/>
      <c r="V1" s="990"/>
      <c r="W1" s="990"/>
      <c r="X1" s="990"/>
      <c r="Y1" s="990"/>
      <c r="Z1" s="990"/>
      <c r="AA1" s="990"/>
      <c r="AB1" s="990"/>
      <c r="AC1" s="990"/>
      <c r="AD1" s="990"/>
      <c r="AE1" s="990"/>
      <c r="AF1" s="990"/>
      <c r="AG1" s="990"/>
      <c r="AH1" s="990"/>
      <c r="AI1" s="990"/>
      <c r="AJ1" s="990"/>
      <c r="AK1" s="990"/>
      <c r="AL1" s="990"/>
      <c r="AM1" s="990"/>
      <c r="AN1" s="990"/>
      <c r="AO1" s="990"/>
      <c r="AP1" s="990"/>
      <c r="AQ1" s="990"/>
      <c r="AR1" s="990"/>
      <c r="AS1" s="990"/>
    </row>
    <row r="2" spans="1:45" x14ac:dyDescent="0.3"/>
    <row r="3" spans="1:45" ht="25.2" thickBot="1" x14ac:dyDescent="0.45">
      <c r="C3" s="547" t="s">
        <v>494</v>
      </c>
      <c r="D3" s="991" t="str">
        <f>VLOOKUP('Gap Calculator'!$E$16,Inputs!$B$10:$M$39,3,FALSE)</f>
        <v>Residential - Small (5 kW/10 kWh)</v>
      </c>
      <c r="E3" s="991"/>
      <c r="F3" s="991"/>
      <c r="G3" s="991"/>
      <c r="H3" s="991"/>
      <c r="I3" s="991"/>
      <c r="J3" s="991"/>
      <c r="K3" s="991"/>
      <c r="L3" s="991"/>
      <c r="M3" s="991"/>
      <c r="N3" s="991"/>
      <c r="O3" s="991"/>
      <c r="P3" s="991"/>
      <c r="Q3" s="991"/>
      <c r="R3" s="991"/>
      <c r="S3" s="991"/>
      <c r="T3" s="991"/>
      <c r="U3" s="991"/>
      <c r="W3" s="547" t="s">
        <v>481</v>
      </c>
      <c r="X3" s="991" t="str">
        <f>"Case Number: " &amp; 'Gap Calculator'!E16</f>
        <v>Case Number: 1</v>
      </c>
      <c r="Y3" s="991"/>
      <c r="Z3" s="991"/>
      <c r="AA3" s="991"/>
      <c r="AB3" s="991"/>
      <c r="AC3" s="991"/>
      <c r="AD3" s="991"/>
      <c r="AE3" s="991"/>
      <c r="AF3" s="991"/>
      <c r="AG3" s="991"/>
      <c r="AH3" s="991"/>
      <c r="AI3" s="991"/>
      <c r="AJ3" s="991"/>
      <c r="AK3" s="991"/>
      <c r="AL3" s="991"/>
      <c r="AM3" s="991"/>
      <c r="AN3" s="991"/>
      <c r="AO3" s="991"/>
      <c r="AP3" s="548"/>
      <c r="AQ3" s="548"/>
      <c r="AR3" s="548"/>
      <c r="AS3" s="548"/>
    </row>
    <row r="4" spans="1:45" ht="16.2" thickBot="1" x14ac:dyDescent="0.35">
      <c r="W4" s="549" t="s">
        <v>664</v>
      </c>
      <c r="X4" s="550" t="s">
        <v>665</v>
      </c>
      <c r="Y4" s="551">
        <f>'Gap Calculator'!L40</f>
        <v>2027</v>
      </c>
      <c r="Z4" s="552">
        <f>'Gap Calculator'!M40</f>
        <v>2028</v>
      </c>
      <c r="AA4" s="552">
        <f>'Gap Calculator'!N40</f>
        <v>2029</v>
      </c>
      <c r="AB4" s="552">
        <f>'Gap Calculator'!O40</f>
        <v>2030</v>
      </c>
      <c r="AC4" s="552">
        <f>'Gap Calculator'!P40</f>
        <v>2031</v>
      </c>
      <c r="AD4" s="552">
        <f>'Gap Calculator'!Q40</f>
        <v>2032</v>
      </c>
      <c r="AE4" s="552">
        <f>'Gap Calculator'!R40</f>
        <v>2033</v>
      </c>
      <c r="AF4" s="552">
        <f>'Gap Calculator'!S40</f>
        <v>2034</v>
      </c>
      <c r="AG4" s="552">
        <f>'Gap Calculator'!T40</f>
        <v>2035</v>
      </c>
      <c r="AH4" s="552">
        <f>'Gap Calculator'!U40</f>
        <v>2036</v>
      </c>
      <c r="AI4" s="552">
        <f>'Gap Calculator'!V40</f>
        <v>2037</v>
      </c>
      <c r="AJ4" s="552">
        <f>'Gap Calculator'!W40</f>
        <v>2038</v>
      </c>
      <c r="AK4" s="552">
        <f>'Gap Calculator'!X40</f>
        <v>2039</v>
      </c>
      <c r="AL4" s="552">
        <f>'Gap Calculator'!Y40</f>
        <v>2040</v>
      </c>
      <c r="AM4" s="552">
        <f>'Gap Calculator'!Z40</f>
        <v>2041</v>
      </c>
      <c r="AN4" s="552">
        <f>'Gap Calculator'!AA40</f>
        <v>2042</v>
      </c>
      <c r="AO4" s="552">
        <f>'Gap Calculator'!AB40</f>
        <v>2043</v>
      </c>
      <c r="AP4" s="552">
        <f>'Gap Calculator'!AC40</f>
        <v>2044</v>
      </c>
      <c r="AQ4" s="552">
        <f>'Gap Calculator'!AD40</f>
        <v>2045</v>
      </c>
      <c r="AR4" s="553">
        <f>'Gap Calculator'!AE40</f>
        <v>2046</v>
      </c>
      <c r="AS4" s="554">
        <v>2047</v>
      </c>
    </row>
    <row r="5" spans="1:45" ht="15.6" x14ac:dyDescent="0.3">
      <c r="W5" s="985" t="s">
        <v>482</v>
      </c>
      <c r="X5" s="555" t="str">
        <f>'Gap Calculator'!I44</f>
        <v>Capacity - PJM Market</v>
      </c>
      <c r="Y5" s="556" t="str">
        <f>IF(SUM('Gap Calculator'!$L44:$AF44)=0,"-",'Gap Calculator'!L44)</f>
        <v>-</v>
      </c>
      <c r="Z5" s="556" t="str">
        <f>IF(SUM('Gap Calculator'!$L44:$AF44)=0,"-",'Gap Calculator'!M44)</f>
        <v>-</v>
      </c>
      <c r="AA5" s="556" t="str">
        <f>IF(SUM('Gap Calculator'!$L44:$AF44)=0,"-",'Gap Calculator'!N44)</f>
        <v>-</v>
      </c>
      <c r="AB5" s="556" t="str">
        <f>IF(SUM('Gap Calculator'!$L44:$AF44)=0,"-",'Gap Calculator'!O44)</f>
        <v>-</v>
      </c>
      <c r="AC5" s="556" t="str">
        <f>IF(SUM('Gap Calculator'!$L44:$AF44)=0,"-",'Gap Calculator'!P44)</f>
        <v>-</v>
      </c>
      <c r="AD5" s="556" t="str">
        <f>IF(SUM('Gap Calculator'!$L44:$AF44)=0,"-",'Gap Calculator'!Q44)</f>
        <v>-</v>
      </c>
      <c r="AE5" s="556" t="str">
        <f>IF(SUM('Gap Calculator'!$L44:$AF44)=0,"-",'Gap Calculator'!R44)</f>
        <v>-</v>
      </c>
      <c r="AF5" s="556" t="str">
        <f>IF(SUM('Gap Calculator'!$L44:$AF44)=0,"-",'Gap Calculator'!S44)</f>
        <v>-</v>
      </c>
      <c r="AG5" s="556" t="str">
        <f>IF(SUM('Gap Calculator'!$L44:$AF44)=0,"-",'Gap Calculator'!T44)</f>
        <v>-</v>
      </c>
      <c r="AH5" s="556" t="str">
        <f>IF(SUM('Gap Calculator'!$L44:$AF44)=0,"-",'Gap Calculator'!U44)</f>
        <v>-</v>
      </c>
      <c r="AI5" s="556" t="str">
        <f>IF(SUM('Gap Calculator'!$L44:$AF44)=0,"-",'Gap Calculator'!V44)</f>
        <v>-</v>
      </c>
      <c r="AJ5" s="556" t="str">
        <f>IF(SUM('Gap Calculator'!$L44:$AF44)=0,"-",'Gap Calculator'!W44)</f>
        <v>-</v>
      </c>
      <c r="AK5" s="556" t="str">
        <f>IF(SUM('Gap Calculator'!$L44:$AF44)=0,"-",'Gap Calculator'!X44)</f>
        <v>-</v>
      </c>
      <c r="AL5" s="556" t="str">
        <f>IF(SUM('Gap Calculator'!$L44:$AF44)=0,"-",'Gap Calculator'!Y44)</f>
        <v>-</v>
      </c>
      <c r="AM5" s="556" t="str">
        <f>IF(SUM('Gap Calculator'!$L44:$AF44)=0,"-",'Gap Calculator'!Z44)</f>
        <v>-</v>
      </c>
      <c r="AN5" s="556" t="str">
        <f>IF(SUM('Gap Calculator'!$L44:$AF44)=0,"-",'Gap Calculator'!AA44)</f>
        <v>-</v>
      </c>
      <c r="AO5" s="556" t="str">
        <f>IF(SUM('Gap Calculator'!$L44:$AF44)=0,"-",'Gap Calculator'!AB44)</f>
        <v>-</v>
      </c>
      <c r="AP5" s="556" t="str">
        <f>IF(SUM('Gap Calculator'!$L44:$AF44)=0,"-",'Gap Calculator'!AC44)</f>
        <v>-</v>
      </c>
      <c r="AQ5" s="556" t="str">
        <f>IF(SUM('Gap Calculator'!$L44:$AF44)=0,"-",'Gap Calculator'!AD44)</f>
        <v>-</v>
      </c>
      <c r="AR5" s="556" t="str">
        <f>IF(SUM('Gap Calculator'!$L44:$AF44)=0,"-",'Gap Calculator'!AE44)</f>
        <v>-</v>
      </c>
      <c r="AS5" s="557" t="str">
        <f>IF(SUM('Gap Calculator'!$L44:$AF44)=0,"-",'Gap Calculator'!AF44)</f>
        <v>-</v>
      </c>
    </row>
    <row r="6" spans="1:45" ht="23.4" x14ac:dyDescent="0.45">
      <c r="J6" s="558"/>
      <c r="K6" s="559"/>
      <c r="W6" s="986"/>
      <c r="X6" s="560" t="str">
        <f>'Gap Calculator'!I45</f>
        <v>Energy Arbitrage - PJM Market</v>
      </c>
      <c r="Y6" s="556" t="str">
        <f>IF(SUM('Gap Calculator'!$L45:$AF45)=0,"-",'Gap Calculator'!L45)</f>
        <v>-</v>
      </c>
      <c r="Z6" s="556" t="str">
        <f>IF(SUM('Gap Calculator'!$L45:$AF45)=0,"-",'Gap Calculator'!M45)</f>
        <v>-</v>
      </c>
      <c r="AA6" s="556" t="str">
        <f>IF(SUM('Gap Calculator'!$L45:$AF45)=0,"-",'Gap Calculator'!N45)</f>
        <v>-</v>
      </c>
      <c r="AB6" s="556" t="str">
        <f>IF(SUM('Gap Calculator'!$L45:$AF45)=0,"-",'Gap Calculator'!O45)</f>
        <v>-</v>
      </c>
      <c r="AC6" s="556" t="str">
        <f>IF(SUM('Gap Calculator'!$L45:$AF45)=0,"-",'Gap Calculator'!P45)</f>
        <v>-</v>
      </c>
      <c r="AD6" s="556" t="str">
        <f>IF(SUM('Gap Calculator'!$L45:$AF45)=0,"-",'Gap Calculator'!Q45)</f>
        <v>-</v>
      </c>
      <c r="AE6" s="556" t="str">
        <f>IF(SUM('Gap Calculator'!$L45:$AF45)=0,"-",'Gap Calculator'!R45)</f>
        <v>-</v>
      </c>
      <c r="AF6" s="556" t="str">
        <f>IF(SUM('Gap Calculator'!$L45:$AF45)=0,"-",'Gap Calculator'!S45)</f>
        <v>-</v>
      </c>
      <c r="AG6" s="556" t="str">
        <f>IF(SUM('Gap Calculator'!$L45:$AF45)=0,"-",'Gap Calculator'!T45)</f>
        <v>-</v>
      </c>
      <c r="AH6" s="556" t="str">
        <f>IF(SUM('Gap Calculator'!$L45:$AF45)=0,"-",'Gap Calculator'!U45)</f>
        <v>-</v>
      </c>
      <c r="AI6" s="556" t="str">
        <f>IF(SUM('Gap Calculator'!$L45:$AF45)=0,"-",'Gap Calculator'!V45)</f>
        <v>-</v>
      </c>
      <c r="AJ6" s="556" t="str">
        <f>IF(SUM('Gap Calculator'!$L45:$AF45)=0,"-",'Gap Calculator'!W45)</f>
        <v>-</v>
      </c>
      <c r="AK6" s="556" t="str">
        <f>IF(SUM('Gap Calculator'!$L45:$AF45)=0,"-",'Gap Calculator'!X45)</f>
        <v>-</v>
      </c>
      <c r="AL6" s="556" t="str">
        <f>IF(SUM('Gap Calculator'!$L45:$AF45)=0,"-",'Gap Calculator'!Y45)</f>
        <v>-</v>
      </c>
      <c r="AM6" s="556" t="str">
        <f>IF(SUM('Gap Calculator'!$L45:$AF45)=0,"-",'Gap Calculator'!Z45)</f>
        <v>-</v>
      </c>
      <c r="AN6" s="556" t="str">
        <f>IF(SUM('Gap Calculator'!$L45:$AF45)=0,"-",'Gap Calculator'!AA45)</f>
        <v>-</v>
      </c>
      <c r="AO6" s="556" t="str">
        <f>IF(SUM('Gap Calculator'!$L45:$AF45)=0,"-",'Gap Calculator'!AB45)</f>
        <v>-</v>
      </c>
      <c r="AP6" s="556" t="str">
        <f>IF(SUM('Gap Calculator'!$L45:$AF45)=0,"-",'Gap Calculator'!AC45)</f>
        <v>-</v>
      </c>
      <c r="AQ6" s="556" t="str">
        <f>IF(SUM('Gap Calculator'!$L45:$AF45)=0,"-",'Gap Calculator'!AD45)</f>
        <v>-</v>
      </c>
      <c r="AR6" s="556" t="str">
        <f>IF(SUM('Gap Calculator'!$L45:$AF45)=0,"-",'Gap Calculator'!AE45)</f>
        <v>-</v>
      </c>
      <c r="AS6" s="557" t="str">
        <f>IF(SUM('Gap Calculator'!$L45:$AF45)=0,"-",'Gap Calculator'!AF45)</f>
        <v>-</v>
      </c>
    </row>
    <row r="7" spans="1:45" ht="15.6" x14ac:dyDescent="0.3">
      <c r="W7" s="986"/>
      <c r="X7" s="560" t="str">
        <f>'Gap Calculator'!I46</f>
        <v>Spin- PJM Market</v>
      </c>
      <c r="Y7" s="556" t="str">
        <f>IF(SUM('Gap Calculator'!$L46:$AF46)=0,"-",'Gap Calculator'!L46)</f>
        <v>-</v>
      </c>
      <c r="Z7" s="556" t="str">
        <f>IF(SUM('Gap Calculator'!$L46:$AF46)=0,"-",'Gap Calculator'!M46)</f>
        <v>-</v>
      </c>
      <c r="AA7" s="556" t="str">
        <f>IF(SUM('Gap Calculator'!$L46:$AF46)=0,"-",'Gap Calculator'!N46)</f>
        <v>-</v>
      </c>
      <c r="AB7" s="556" t="str">
        <f>IF(SUM('Gap Calculator'!$L46:$AF46)=0,"-",'Gap Calculator'!O46)</f>
        <v>-</v>
      </c>
      <c r="AC7" s="556" t="str">
        <f>IF(SUM('Gap Calculator'!$L46:$AF46)=0,"-",'Gap Calculator'!P46)</f>
        <v>-</v>
      </c>
      <c r="AD7" s="556" t="str">
        <f>IF(SUM('Gap Calculator'!$L46:$AF46)=0,"-",'Gap Calculator'!Q46)</f>
        <v>-</v>
      </c>
      <c r="AE7" s="556" t="str">
        <f>IF(SUM('Gap Calculator'!$L46:$AF46)=0,"-",'Gap Calculator'!R46)</f>
        <v>-</v>
      </c>
      <c r="AF7" s="556" t="str">
        <f>IF(SUM('Gap Calculator'!$L46:$AF46)=0,"-",'Gap Calculator'!S46)</f>
        <v>-</v>
      </c>
      <c r="AG7" s="556" t="str">
        <f>IF(SUM('Gap Calculator'!$L46:$AF46)=0,"-",'Gap Calculator'!T46)</f>
        <v>-</v>
      </c>
      <c r="AH7" s="556" t="str">
        <f>IF(SUM('Gap Calculator'!$L46:$AF46)=0,"-",'Gap Calculator'!U46)</f>
        <v>-</v>
      </c>
      <c r="AI7" s="556" t="str">
        <f>IF(SUM('Gap Calculator'!$L46:$AF46)=0,"-",'Gap Calculator'!V46)</f>
        <v>-</v>
      </c>
      <c r="AJ7" s="556" t="str">
        <f>IF(SUM('Gap Calculator'!$L46:$AF46)=0,"-",'Gap Calculator'!W46)</f>
        <v>-</v>
      </c>
      <c r="AK7" s="556" t="str">
        <f>IF(SUM('Gap Calculator'!$L46:$AF46)=0,"-",'Gap Calculator'!X46)</f>
        <v>-</v>
      </c>
      <c r="AL7" s="556" t="str">
        <f>IF(SUM('Gap Calculator'!$L46:$AF46)=0,"-",'Gap Calculator'!Y46)</f>
        <v>-</v>
      </c>
      <c r="AM7" s="556" t="str">
        <f>IF(SUM('Gap Calculator'!$L46:$AF46)=0,"-",'Gap Calculator'!Z46)</f>
        <v>-</v>
      </c>
      <c r="AN7" s="556" t="str">
        <f>IF(SUM('Gap Calculator'!$L46:$AF46)=0,"-",'Gap Calculator'!AA46)</f>
        <v>-</v>
      </c>
      <c r="AO7" s="556" t="str">
        <f>IF(SUM('Gap Calculator'!$L46:$AF46)=0,"-",'Gap Calculator'!AB46)</f>
        <v>-</v>
      </c>
      <c r="AP7" s="556" t="str">
        <f>IF(SUM('Gap Calculator'!$L46:$AF46)=0,"-",'Gap Calculator'!AC46)</f>
        <v>-</v>
      </c>
      <c r="AQ7" s="556" t="str">
        <f>IF(SUM('Gap Calculator'!$L46:$AF46)=0,"-",'Gap Calculator'!AD46)</f>
        <v>-</v>
      </c>
      <c r="AR7" s="556" t="str">
        <f>IF(SUM('Gap Calculator'!$L46:$AF46)=0,"-",'Gap Calculator'!AE46)</f>
        <v>-</v>
      </c>
      <c r="AS7" s="557" t="str">
        <f>IF(SUM('Gap Calculator'!$L46:$AF46)=0,"-",'Gap Calculator'!AF46)</f>
        <v>-</v>
      </c>
    </row>
    <row r="8" spans="1:45" ht="15.6" x14ac:dyDescent="0.3">
      <c r="W8" s="986"/>
      <c r="X8" s="561" t="str">
        <f>'Gap Calculator'!I47</f>
        <v>Non-Spin - PJM Market</v>
      </c>
      <c r="Y8" s="556" t="str">
        <f>IF(SUM('Gap Calculator'!$L47:$AF47)=0,"-",'Gap Calculator'!L47)</f>
        <v>-</v>
      </c>
      <c r="Z8" s="556" t="str">
        <f>IF(SUM('Gap Calculator'!$L47:$AF47)=0,"-",'Gap Calculator'!M47)</f>
        <v>-</v>
      </c>
      <c r="AA8" s="556" t="str">
        <f>IF(SUM('Gap Calculator'!$L47:$AF47)=0,"-",'Gap Calculator'!N47)</f>
        <v>-</v>
      </c>
      <c r="AB8" s="556" t="str">
        <f>IF(SUM('Gap Calculator'!$L47:$AF47)=0,"-",'Gap Calculator'!O47)</f>
        <v>-</v>
      </c>
      <c r="AC8" s="556" t="str">
        <f>IF(SUM('Gap Calculator'!$L47:$AF47)=0,"-",'Gap Calculator'!P47)</f>
        <v>-</v>
      </c>
      <c r="AD8" s="556" t="str">
        <f>IF(SUM('Gap Calculator'!$L47:$AF47)=0,"-",'Gap Calculator'!Q47)</f>
        <v>-</v>
      </c>
      <c r="AE8" s="556" t="str">
        <f>IF(SUM('Gap Calculator'!$L47:$AF47)=0,"-",'Gap Calculator'!R47)</f>
        <v>-</v>
      </c>
      <c r="AF8" s="556" t="str">
        <f>IF(SUM('Gap Calculator'!$L47:$AF47)=0,"-",'Gap Calculator'!S47)</f>
        <v>-</v>
      </c>
      <c r="AG8" s="556" t="str">
        <f>IF(SUM('Gap Calculator'!$L47:$AF47)=0,"-",'Gap Calculator'!T47)</f>
        <v>-</v>
      </c>
      <c r="AH8" s="556" t="str">
        <f>IF(SUM('Gap Calculator'!$L47:$AF47)=0,"-",'Gap Calculator'!U47)</f>
        <v>-</v>
      </c>
      <c r="AI8" s="556" t="str">
        <f>IF(SUM('Gap Calculator'!$L47:$AF47)=0,"-",'Gap Calculator'!V47)</f>
        <v>-</v>
      </c>
      <c r="AJ8" s="556" t="str">
        <f>IF(SUM('Gap Calculator'!$L47:$AF47)=0,"-",'Gap Calculator'!W47)</f>
        <v>-</v>
      </c>
      <c r="AK8" s="556" t="str">
        <f>IF(SUM('Gap Calculator'!$L47:$AF47)=0,"-",'Gap Calculator'!X47)</f>
        <v>-</v>
      </c>
      <c r="AL8" s="556" t="str">
        <f>IF(SUM('Gap Calculator'!$L47:$AF47)=0,"-",'Gap Calculator'!Y47)</f>
        <v>-</v>
      </c>
      <c r="AM8" s="556" t="str">
        <f>IF(SUM('Gap Calculator'!$L47:$AF47)=0,"-",'Gap Calculator'!Z47)</f>
        <v>-</v>
      </c>
      <c r="AN8" s="556" t="str">
        <f>IF(SUM('Gap Calculator'!$L47:$AF47)=0,"-",'Gap Calculator'!AA47)</f>
        <v>-</v>
      </c>
      <c r="AO8" s="556" t="str">
        <f>IF(SUM('Gap Calculator'!$L47:$AF47)=0,"-",'Gap Calculator'!AB47)</f>
        <v>-</v>
      </c>
      <c r="AP8" s="556" t="str">
        <f>IF(SUM('Gap Calculator'!$L47:$AF47)=0,"-",'Gap Calculator'!AC47)</f>
        <v>-</v>
      </c>
      <c r="AQ8" s="556" t="str">
        <f>IF(SUM('Gap Calculator'!$L47:$AF47)=0,"-",'Gap Calculator'!AD47)</f>
        <v>-</v>
      </c>
      <c r="AR8" s="556" t="str">
        <f>IF(SUM('Gap Calculator'!$L47:$AF47)=0,"-",'Gap Calculator'!AE47)</f>
        <v>-</v>
      </c>
      <c r="AS8" s="557" t="str">
        <f>IF(SUM('Gap Calculator'!$L47:$AF47)=0,"-",'Gap Calculator'!AF47)</f>
        <v>-</v>
      </c>
    </row>
    <row r="9" spans="1:45" ht="16.2" thickBot="1" x14ac:dyDescent="0.35">
      <c r="W9" s="987"/>
      <c r="X9" s="562" t="str">
        <f>'Gap Calculator'!I48</f>
        <v>Regulation - PJM Market</v>
      </c>
      <c r="Y9" s="563" t="str">
        <f>IF(SUM('Gap Calculator'!$L48:$AF48)=0,"-",'Gap Calculator'!L48)</f>
        <v>-</v>
      </c>
      <c r="Z9" s="564" t="str">
        <f>IF(SUM('Gap Calculator'!$L48:$AF48)=0,"-",'Gap Calculator'!M48)</f>
        <v>-</v>
      </c>
      <c r="AA9" s="564" t="str">
        <f>IF(SUM('Gap Calculator'!$L48:$AF48)=0,"-",'Gap Calculator'!N48)</f>
        <v>-</v>
      </c>
      <c r="AB9" s="564" t="str">
        <f>IF(SUM('Gap Calculator'!$L48:$AF48)=0,"-",'Gap Calculator'!O48)</f>
        <v>-</v>
      </c>
      <c r="AC9" s="564" t="str">
        <f>IF(SUM('Gap Calculator'!$L48:$AF48)=0,"-",'Gap Calculator'!P48)</f>
        <v>-</v>
      </c>
      <c r="AD9" s="564" t="str">
        <f>IF(SUM('Gap Calculator'!$L48:$AF48)=0,"-",'Gap Calculator'!Q48)</f>
        <v>-</v>
      </c>
      <c r="AE9" s="564" t="str">
        <f>IF(SUM('Gap Calculator'!$L48:$AF48)=0,"-",'Gap Calculator'!R48)</f>
        <v>-</v>
      </c>
      <c r="AF9" s="564" t="str">
        <f>IF(SUM('Gap Calculator'!$L48:$AF48)=0,"-",'Gap Calculator'!S48)</f>
        <v>-</v>
      </c>
      <c r="AG9" s="564" t="str">
        <f>IF(SUM('Gap Calculator'!$L48:$AF48)=0,"-",'Gap Calculator'!T48)</f>
        <v>-</v>
      </c>
      <c r="AH9" s="564" t="str">
        <f>IF(SUM('Gap Calculator'!$L48:$AF48)=0,"-",'Gap Calculator'!U48)</f>
        <v>-</v>
      </c>
      <c r="AI9" s="564" t="str">
        <f>IF(SUM('Gap Calculator'!$L48:$AF48)=0,"-",'Gap Calculator'!V48)</f>
        <v>-</v>
      </c>
      <c r="AJ9" s="564" t="str">
        <f>IF(SUM('Gap Calculator'!$L48:$AF48)=0,"-",'Gap Calculator'!W48)</f>
        <v>-</v>
      </c>
      <c r="AK9" s="564" t="str">
        <f>IF(SUM('Gap Calculator'!$L48:$AF48)=0,"-",'Gap Calculator'!X48)</f>
        <v>-</v>
      </c>
      <c r="AL9" s="564" t="str">
        <f>IF(SUM('Gap Calculator'!$L48:$AF48)=0,"-",'Gap Calculator'!Y48)</f>
        <v>-</v>
      </c>
      <c r="AM9" s="564" t="str">
        <f>IF(SUM('Gap Calculator'!$L48:$AF48)=0,"-",'Gap Calculator'!Z48)</f>
        <v>-</v>
      </c>
      <c r="AN9" s="564" t="str">
        <f>IF(SUM('Gap Calculator'!$L48:$AF48)=0,"-",'Gap Calculator'!AA48)</f>
        <v>-</v>
      </c>
      <c r="AO9" s="564" t="str">
        <f>IF(SUM('Gap Calculator'!$L48:$AF48)=0,"-",'Gap Calculator'!AB48)</f>
        <v>-</v>
      </c>
      <c r="AP9" s="564" t="str">
        <f>IF(SUM('Gap Calculator'!$L48:$AF48)=0,"-",'Gap Calculator'!AC48)</f>
        <v>-</v>
      </c>
      <c r="AQ9" s="564" t="str">
        <f>IF(SUM('Gap Calculator'!$L48:$AF48)=0,"-",'Gap Calculator'!AD48)</f>
        <v>-</v>
      </c>
      <c r="AR9" s="564" t="str">
        <f>IF(SUM('Gap Calculator'!$L48:$AF48)=0,"-",'Gap Calculator'!AE48)</f>
        <v>-</v>
      </c>
      <c r="AS9" s="565" t="str">
        <f>IF(SUM('Gap Calculator'!$L48:$AF48)=0,"-",'Gap Calculator'!AF48)</f>
        <v>-</v>
      </c>
    </row>
    <row r="10" spans="1:45" ht="15.6" x14ac:dyDescent="0.3">
      <c r="W10" s="988" t="s">
        <v>483</v>
      </c>
      <c r="X10" s="555" t="str">
        <f>'Gap Calculator'!I49</f>
        <v>Incurred Energy Charges</v>
      </c>
      <c r="Y10" s="556" t="str">
        <f>IF(SUM('Gap Calculator'!$L49:$AF49)=0,"-",'Gap Calculator'!L49)</f>
        <v>-</v>
      </c>
      <c r="Z10" s="556" t="str">
        <f>IF(SUM('Gap Calculator'!$L49:$AF49)=0,"-",'Gap Calculator'!M49)</f>
        <v>-</v>
      </c>
      <c r="AA10" s="556" t="str">
        <f>IF(SUM('Gap Calculator'!$L49:$AF49)=0,"-",'Gap Calculator'!N49)</f>
        <v>-</v>
      </c>
      <c r="AB10" s="556" t="str">
        <f>IF(SUM('Gap Calculator'!$L49:$AF49)=0,"-",'Gap Calculator'!O49)</f>
        <v>-</v>
      </c>
      <c r="AC10" s="556" t="str">
        <f>IF(SUM('Gap Calculator'!$L49:$AF49)=0,"-",'Gap Calculator'!P49)</f>
        <v>-</v>
      </c>
      <c r="AD10" s="556" t="str">
        <f>IF(SUM('Gap Calculator'!$L49:$AF49)=0,"-",'Gap Calculator'!Q49)</f>
        <v>-</v>
      </c>
      <c r="AE10" s="556" t="str">
        <f>IF(SUM('Gap Calculator'!$L49:$AF49)=0,"-",'Gap Calculator'!R49)</f>
        <v>-</v>
      </c>
      <c r="AF10" s="556" t="str">
        <f>IF(SUM('Gap Calculator'!$L49:$AF49)=0,"-",'Gap Calculator'!S49)</f>
        <v>-</v>
      </c>
      <c r="AG10" s="556" t="str">
        <f>IF(SUM('Gap Calculator'!$L49:$AF49)=0,"-",'Gap Calculator'!T49)</f>
        <v>-</v>
      </c>
      <c r="AH10" s="556" t="str">
        <f>IF(SUM('Gap Calculator'!$L49:$AF49)=0,"-",'Gap Calculator'!U49)</f>
        <v>-</v>
      </c>
      <c r="AI10" s="556" t="str">
        <f>IF(SUM('Gap Calculator'!$L49:$AF49)=0,"-",'Gap Calculator'!V49)</f>
        <v>-</v>
      </c>
      <c r="AJ10" s="556" t="str">
        <f>IF(SUM('Gap Calculator'!$L49:$AF49)=0,"-",'Gap Calculator'!W49)</f>
        <v>-</v>
      </c>
      <c r="AK10" s="556" t="str">
        <f>IF(SUM('Gap Calculator'!$L49:$AF49)=0,"-",'Gap Calculator'!X49)</f>
        <v>-</v>
      </c>
      <c r="AL10" s="556" t="str">
        <f>IF(SUM('Gap Calculator'!$L49:$AF49)=0,"-",'Gap Calculator'!Y49)</f>
        <v>-</v>
      </c>
      <c r="AM10" s="556" t="str">
        <f>IF(SUM('Gap Calculator'!$L49:$AF49)=0,"-",'Gap Calculator'!Z49)</f>
        <v>-</v>
      </c>
      <c r="AN10" s="556" t="str">
        <f>IF(SUM('Gap Calculator'!$L49:$AF49)=0,"-",'Gap Calculator'!AA49)</f>
        <v>-</v>
      </c>
      <c r="AO10" s="556" t="str">
        <f>IF(SUM('Gap Calculator'!$L49:$AF49)=0,"-",'Gap Calculator'!AB49)</f>
        <v>-</v>
      </c>
      <c r="AP10" s="556" t="str">
        <f>IF(SUM('Gap Calculator'!$L49:$AF49)=0,"-",'Gap Calculator'!AC49)</f>
        <v>-</v>
      </c>
      <c r="AQ10" s="556" t="str">
        <f>IF(SUM('Gap Calculator'!$L49:$AF49)=0,"-",'Gap Calculator'!AD49)</f>
        <v>-</v>
      </c>
      <c r="AR10" s="556" t="str">
        <f>IF(SUM('Gap Calculator'!$L49:$AF49)=0,"-",'Gap Calculator'!AE49)</f>
        <v>-</v>
      </c>
      <c r="AS10" s="557" t="str">
        <f>IF(SUM('Gap Calculator'!$L49:$AF49)=0,"-",'Gap Calculator'!AF49)</f>
        <v>-</v>
      </c>
    </row>
    <row r="11" spans="1:45" ht="15.6" x14ac:dyDescent="0.3">
      <c r="W11" s="986"/>
      <c r="X11" s="560" t="str">
        <f>'Gap Calculator'!I50</f>
        <v>As Used Demand Charges</v>
      </c>
      <c r="Y11" s="556" t="str">
        <f>IF(SUM('Gap Calculator'!$L50:$AF50)=0,"-",'Gap Calculator'!L50)</f>
        <v>-</v>
      </c>
      <c r="Z11" s="556" t="str">
        <f>IF(SUM('Gap Calculator'!$L50:$AF50)=0,"-",'Gap Calculator'!M50)</f>
        <v>-</v>
      </c>
      <c r="AA11" s="556" t="str">
        <f>IF(SUM('Gap Calculator'!$L50:$AF50)=0,"-",'Gap Calculator'!N50)</f>
        <v>-</v>
      </c>
      <c r="AB11" s="556" t="str">
        <f>IF(SUM('Gap Calculator'!$L50:$AF50)=0,"-",'Gap Calculator'!O50)</f>
        <v>-</v>
      </c>
      <c r="AC11" s="556" t="str">
        <f>IF(SUM('Gap Calculator'!$L50:$AF50)=0,"-",'Gap Calculator'!P50)</f>
        <v>-</v>
      </c>
      <c r="AD11" s="556" t="str">
        <f>IF(SUM('Gap Calculator'!$L50:$AF50)=0,"-",'Gap Calculator'!Q50)</f>
        <v>-</v>
      </c>
      <c r="AE11" s="556" t="str">
        <f>IF(SUM('Gap Calculator'!$L50:$AF50)=0,"-",'Gap Calculator'!R50)</f>
        <v>-</v>
      </c>
      <c r="AF11" s="556" t="str">
        <f>IF(SUM('Gap Calculator'!$L50:$AF50)=0,"-",'Gap Calculator'!S50)</f>
        <v>-</v>
      </c>
      <c r="AG11" s="556" t="str">
        <f>IF(SUM('Gap Calculator'!$L50:$AF50)=0,"-",'Gap Calculator'!T50)</f>
        <v>-</v>
      </c>
      <c r="AH11" s="556" t="str">
        <f>IF(SUM('Gap Calculator'!$L50:$AF50)=0,"-",'Gap Calculator'!U50)</f>
        <v>-</v>
      </c>
      <c r="AI11" s="556" t="str">
        <f>IF(SUM('Gap Calculator'!$L50:$AF50)=0,"-",'Gap Calculator'!V50)</f>
        <v>-</v>
      </c>
      <c r="AJ11" s="556" t="str">
        <f>IF(SUM('Gap Calculator'!$L50:$AF50)=0,"-",'Gap Calculator'!W50)</f>
        <v>-</v>
      </c>
      <c r="AK11" s="556" t="str">
        <f>IF(SUM('Gap Calculator'!$L50:$AF50)=0,"-",'Gap Calculator'!X50)</f>
        <v>-</v>
      </c>
      <c r="AL11" s="556" t="str">
        <f>IF(SUM('Gap Calculator'!$L50:$AF50)=0,"-",'Gap Calculator'!Y50)</f>
        <v>-</v>
      </c>
      <c r="AM11" s="556" t="str">
        <f>IF(SUM('Gap Calculator'!$L50:$AF50)=0,"-",'Gap Calculator'!Z50)</f>
        <v>-</v>
      </c>
      <c r="AN11" s="556" t="str">
        <f>IF(SUM('Gap Calculator'!$L50:$AF50)=0,"-",'Gap Calculator'!AA50)</f>
        <v>-</v>
      </c>
      <c r="AO11" s="556" t="str">
        <f>IF(SUM('Gap Calculator'!$L50:$AF50)=0,"-",'Gap Calculator'!AB50)</f>
        <v>-</v>
      </c>
      <c r="AP11" s="556" t="str">
        <f>IF(SUM('Gap Calculator'!$L50:$AF50)=0,"-",'Gap Calculator'!AC50)</f>
        <v>-</v>
      </c>
      <c r="AQ11" s="556" t="str">
        <f>IF(SUM('Gap Calculator'!$L50:$AF50)=0,"-",'Gap Calculator'!AD50)</f>
        <v>-</v>
      </c>
      <c r="AR11" s="556" t="str">
        <f>IF(SUM('Gap Calculator'!$L50:$AF50)=0,"-",'Gap Calculator'!AE50)</f>
        <v>-</v>
      </c>
      <c r="AS11" s="557" t="str">
        <f>IF(SUM('Gap Calculator'!$L50:$AF50)=0,"-",'Gap Calculator'!AF50)</f>
        <v>-</v>
      </c>
    </row>
    <row r="12" spans="1:45" ht="15.6" x14ac:dyDescent="0.3">
      <c r="W12" s="986"/>
      <c r="X12" s="561" t="str">
        <f>'Gap Calculator'!I51</f>
        <v>Contract Demand Charges  Fixed</v>
      </c>
      <c r="Y12" s="556" t="str">
        <f>IF(SUM('Gap Calculator'!$L51:$AF51)=0,"-",'Gap Calculator'!L51)</f>
        <v>-</v>
      </c>
      <c r="Z12" s="556" t="str">
        <f>IF(SUM('Gap Calculator'!$L51:$AF51)=0,"-",'Gap Calculator'!M51)</f>
        <v>-</v>
      </c>
      <c r="AA12" s="556" t="str">
        <f>IF(SUM('Gap Calculator'!$L51:$AF51)=0,"-",'Gap Calculator'!N51)</f>
        <v>-</v>
      </c>
      <c r="AB12" s="556" t="str">
        <f>IF(SUM('Gap Calculator'!$L51:$AF51)=0,"-",'Gap Calculator'!O51)</f>
        <v>-</v>
      </c>
      <c r="AC12" s="556" t="str">
        <f>IF(SUM('Gap Calculator'!$L51:$AF51)=0,"-",'Gap Calculator'!P51)</f>
        <v>-</v>
      </c>
      <c r="AD12" s="556" t="str">
        <f>IF(SUM('Gap Calculator'!$L51:$AF51)=0,"-",'Gap Calculator'!Q51)</f>
        <v>-</v>
      </c>
      <c r="AE12" s="556" t="str">
        <f>IF(SUM('Gap Calculator'!$L51:$AF51)=0,"-",'Gap Calculator'!R51)</f>
        <v>-</v>
      </c>
      <c r="AF12" s="556" t="str">
        <f>IF(SUM('Gap Calculator'!$L51:$AF51)=0,"-",'Gap Calculator'!S51)</f>
        <v>-</v>
      </c>
      <c r="AG12" s="556" t="str">
        <f>IF(SUM('Gap Calculator'!$L51:$AF51)=0,"-",'Gap Calculator'!T51)</f>
        <v>-</v>
      </c>
      <c r="AH12" s="556" t="str">
        <f>IF(SUM('Gap Calculator'!$L51:$AF51)=0,"-",'Gap Calculator'!U51)</f>
        <v>-</v>
      </c>
      <c r="AI12" s="556" t="str">
        <f>IF(SUM('Gap Calculator'!$L51:$AF51)=0,"-",'Gap Calculator'!V51)</f>
        <v>-</v>
      </c>
      <c r="AJ12" s="556" t="str">
        <f>IF(SUM('Gap Calculator'!$L51:$AF51)=0,"-",'Gap Calculator'!W51)</f>
        <v>-</v>
      </c>
      <c r="AK12" s="556" t="str">
        <f>IF(SUM('Gap Calculator'!$L51:$AF51)=0,"-",'Gap Calculator'!X51)</f>
        <v>-</v>
      </c>
      <c r="AL12" s="556" t="str">
        <f>IF(SUM('Gap Calculator'!$L51:$AF51)=0,"-",'Gap Calculator'!Y51)</f>
        <v>-</v>
      </c>
      <c r="AM12" s="556" t="str">
        <f>IF(SUM('Gap Calculator'!$L51:$AF51)=0,"-",'Gap Calculator'!Z51)</f>
        <v>-</v>
      </c>
      <c r="AN12" s="556" t="str">
        <f>IF(SUM('Gap Calculator'!$L51:$AF51)=0,"-",'Gap Calculator'!AA51)</f>
        <v>-</v>
      </c>
      <c r="AO12" s="556" t="str">
        <f>IF(SUM('Gap Calculator'!$L51:$AF51)=0,"-",'Gap Calculator'!AB51)</f>
        <v>-</v>
      </c>
      <c r="AP12" s="556" t="str">
        <f>IF(SUM('Gap Calculator'!$L51:$AF51)=0,"-",'Gap Calculator'!AC51)</f>
        <v>-</v>
      </c>
      <c r="AQ12" s="556" t="str">
        <f>IF(SUM('Gap Calculator'!$L51:$AF51)=0,"-",'Gap Calculator'!AD51)</f>
        <v>-</v>
      </c>
      <c r="AR12" s="556" t="str">
        <f>IF(SUM('Gap Calculator'!$L51:$AF51)=0,"-",'Gap Calculator'!AE51)</f>
        <v>-</v>
      </c>
      <c r="AS12" s="557" t="str">
        <f>IF(SUM('Gap Calculator'!$L51:$AF51)=0,"-",'Gap Calculator'!AF51)</f>
        <v>-</v>
      </c>
    </row>
    <row r="13" spans="1:45" ht="16.2" thickBot="1" x14ac:dyDescent="0.35">
      <c r="W13" s="989"/>
      <c r="X13" s="562" t="str">
        <f>'Gap Calculator'!I52</f>
        <v>Customer Charges/ Fixed Charges</v>
      </c>
      <c r="Y13" s="563" t="str">
        <f>IF(SUM('Gap Calculator'!$L52:$AF52)=0,"-",'Gap Calculator'!L52)</f>
        <v>-</v>
      </c>
      <c r="Z13" s="564" t="str">
        <f>IF(SUM('Gap Calculator'!$L52:$AF52)=0,"-",'Gap Calculator'!M52)</f>
        <v>-</v>
      </c>
      <c r="AA13" s="564" t="str">
        <f>IF(SUM('Gap Calculator'!$L52:$AF52)=0,"-",'Gap Calculator'!N52)</f>
        <v>-</v>
      </c>
      <c r="AB13" s="564" t="str">
        <f>IF(SUM('Gap Calculator'!$L52:$AF52)=0,"-",'Gap Calculator'!O52)</f>
        <v>-</v>
      </c>
      <c r="AC13" s="564" t="str">
        <f>IF(SUM('Gap Calculator'!$L52:$AF52)=0,"-",'Gap Calculator'!P52)</f>
        <v>-</v>
      </c>
      <c r="AD13" s="564" t="str">
        <f>IF(SUM('Gap Calculator'!$L52:$AF52)=0,"-",'Gap Calculator'!Q52)</f>
        <v>-</v>
      </c>
      <c r="AE13" s="564" t="str">
        <f>IF(SUM('Gap Calculator'!$L52:$AF52)=0,"-",'Gap Calculator'!R52)</f>
        <v>-</v>
      </c>
      <c r="AF13" s="564" t="str">
        <f>IF(SUM('Gap Calculator'!$L52:$AF52)=0,"-",'Gap Calculator'!S52)</f>
        <v>-</v>
      </c>
      <c r="AG13" s="564" t="str">
        <f>IF(SUM('Gap Calculator'!$L52:$AF52)=0,"-",'Gap Calculator'!T52)</f>
        <v>-</v>
      </c>
      <c r="AH13" s="564" t="str">
        <f>IF(SUM('Gap Calculator'!$L52:$AF52)=0,"-",'Gap Calculator'!U52)</f>
        <v>-</v>
      </c>
      <c r="AI13" s="564" t="str">
        <f>IF(SUM('Gap Calculator'!$L52:$AF52)=0,"-",'Gap Calculator'!V52)</f>
        <v>-</v>
      </c>
      <c r="AJ13" s="564" t="str">
        <f>IF(SUM('Gap Calculator'!$L52:$AF52)=0,"-",'Gap Calculator'!W52)</f>
        <v>-</v>
      </c>
      <c r="AK13" s="564" t="str">
        <f>IF(SUM('Gap Calculator'!$L52:$AF52)=0,"-",'Gap Calculator'!X52)</f>
        <v>-</v>
      </c>
      <c r="AL13" s="564" t="str">
        <f>IF(SUM('Gap Calculator'!$L52:$AF52)=0,"-",'Gap Calculator'!Y52)</f>
        <v>-</v>
      </c>
      <c r="AM13" s="564" t="str">
        <f>IF(SUM('Gap Calculator'!$L52:$AF52)=0,"-",'Gap Calculator'!Z52)</f>
        <v>-</v>
      </c>
      <c r="AN13" s="564" t="str">
        <f>IF(SUM('Gap Calculator'!$L52:$AF52)=0,"-",'Gap Calculator'!AA52)</f>
        <v>-</v>
      </c>
      <c r="AO13" s="564" t="str">
        <f>IF(SUM('Gap Calculator'!$L52:$AF52)=0,"-",'Gap Calculator'!AB52)</f>
        <v>-</v>
      </c>
      <c r="AP13" s="564" t="str">
        <f>IF(SUM('Gap Calculator'!$L52:$AF52)=0,"-",'Gap Calculator'!AC52)</f>
        <v>-</v>
      </c>
      <c r="AQ13" s="564" t="str">
        <f>IF(SUM('Gap Calculator'!$L52:$AF52)=0,"-",'Gap Calculator'!AD52)</f>
        <v>-</v>
      </c>
      <c r="AR13" s="564" t="str">
        <f>IF(SUM('Gap Calculator'!$L52:$AF52)=0,"-",'Gap Calculator'!AE52)</f>
        <v>-</v>
      </c>
      <c r="AS13" s="565" t="str">
        <f>IF(SUM('Gap Calculator'!$L52:$AF52)=0,"-",'Gap Calculator'!AF52)</f>
        <v>-</v>
      </c>
    </row>
    <row r="14" spans="1:45" ht="15.6" x14ac:dyDescent="0.3">
      <c r="W14" s="980" t="s">
        <v>484</v>
      </c>
      <c r="X14" s="566" t="str">
        <f>'Gap Calculator'!I53</f>
        <v>Energy Savings</v>
      </c>
      <c r="Y14" s="556">
        <f>IF(SUM('Gap Calculator'!$L53:$AF53)=0,"-",'Gap Calculator'!L53)</f>
        <v>0</v>
      </c>
      <c r="Z14" s="556">
        <f>IF(SUM('Gap Calculator'!$L53:$AF53)=0,"-",'Gap Calculator'!M53)</f>
        <v>319.28756479459946</v>
      </c>
      <c r="AA14" s="556">
        <f>IF(SUM('Gap Calculator'!$L53:$AF53)=0,"-",'Gap Calculator'!N53)</f>
        <v>296.09913291968599</v>
      </c>
      <c r="AB14" s="556">
        <f>IF(SUM('Gap Calculator'!$L53:$AF53)=0,"-",'Gap Calculator'!O53)</f>
        <v>317.96640465024109</v>
      </c>
      <c r="AC14" s="556">
        <f>IF(SUM('Gap Calculator'!$L53:$AF53)=0,"-",'Gap Calculator'!P53)</f>
        <v>338.68187496330421</v>
      </c>
      <c r="AD14" s="556">
        <f>IF(SUM('Gap Calculator'!$L53:$AF53)=0,"-",'Gap Calculator'!Q53)</f>
        <v>346.02476334262559</v>
      </c>
      <c r="AE14" s="556">
        <f>IF(SUM('Gap Calculator'!$L53:$AF53)=0,"-",'Gap Calculator'!R53)</f>
        <v>352.54044767348444</v>
      </c>
      <c r="AF14" s="556">
        <f>IF(SUM('Gap Calculator'!$L53:$AF53)=0,"-",'Gap Calculator'!S53)</f>
        <v>359.05613200434328</v>
      </c>
      <c r="AG14" s="556">
        <f>IF(SUM('Gap Calculator'!$L53:$AF53)=0,"-",'Gap Calculator'!T53)</f>
        <v>365.57181633520213</v>
      </c>
      <c r="AH14" s="556">
        <f>IF(SUM('Gap Calculator'!$L53:$AF53)=0,"-",'Gap Calculator'!U53)</f>
        <v>372.08750066606098</v>
      </c>
      <c r="AI14" s="556">
        <f>IF(SUM('Gap Calculator'!$L53:$AF53)=0,"-",'Gap Calculator'!V53)</f>
        <v>378.60318499691988</v>
      </c>
      <c r="AJ14" s="556">
        <f>IF(SUM('Gap Calculator'!$L53:$AF53)=0,"-",'Gap Calculator'!W53)</f>
        <v>400.48421245641009</v>
      </c>
      <c r="AK14" s="556">
        <f>IF(SUM('Gap Calculator'!$L53:$AF53)=0,"-",'Gap Calculator'!X53)</f>
        <v>422.3652399159003</v>
      </c>
      <c r="AL14" s="556">
        <f>IF(SUM('Gap Calculator'!$L53:$AF53)=0,"-",'Gap Calculator'!Y53)</f>
        <v>444.24626737539052</v>
      </c>
      <c r="AM14" s="556">
        <f>IF(SUM('Gap Calculator'!$L53:$AF53)=0,"-",'Gap Calculator'!Z53)</f>
        <v>466.12729483488073</v>
      </c>
      <c r="AN14" s="556">
        <f>IF(SUM('Gap Calculator'!$L53:$AF53)=0,"-",'Gap Calculator'!AA53)</f>
        <v>488.00832229437106</v>
      </c>
      <c r="AO14" s="556">
        <f>IF(SUM('Gap Calculator'!$L53:$AF53)=0,"-",'Gap Calculator'!AB53)</f>
        <v>501.72759071026144</v>
      </c>
      <c r="AP14" s="556">
        <f>IF(SUM('Gap Calculator'!$L53:$AF53)=0,"-",'Gap Calculator'!AC53)</f>
        <v>515.44685912615182</v>
      </c>
      <c r="AQ14" s="556">
        <f>IF(SUM('Gap Calculator'!$L53:$AF53)=0,"-",'Gap Calculator'!AD53)</f>
        <v>529.1661275420422</v>
      </c>
      <c r="AR14" s="556">
        <f>IF(SUM('Gap Calculator'!$L53:$AF53)=0,"-",'Gap Calculator'!AE53)</f>
        <v>542.88539595793259</v>
      </c>
      <c r="AS14" s="557">
        <f>IF(SUM('Gap Calculator'!$L53:$AF53)=0,"-",'Gap Calculator'!AF53)</f>
        <v>556.60466437382297</v>
      </c>
    </row>
    <row r="15" spans="1:45" ht="16.2" thickBot="1" x14ac:dyDescent="0.35">
      <c r="W15" s="981"/>
      <c r="X15" s="562" t="str">
        <f>'Gap Calculator'!I54</f>
        <v xml:space="preserve">Demand Savings </v>
      </c>
      <c r="Y15" s="563" t="str">
        <f>IF(SUM('Gap Calculator'!$L54:$AF54)=0,"-",'Gap Calculator'!L54)</f>
        <v>-</v>
      </c>
      <c r="Z15" s="564" t="str">
        <f>IF(SUM('Gap Calculator'!$L54:$AF54)=0,"-",'Gap Calculator'!M54)</f>
        <v>-</v>
      </c>
      <c r="AA15" s="564" t="str">
        <f>IF(SUM('Gap Calculator'!$L54:$AF54)=0,"-",'Gap Calculator'!N54)</f>
        <v>-</v>
      </c>
      <c r="AB15" s="564" t="str">
        <f>IF(SUM('Gap Calculator'!$L54:$AF54)=0,"-",'Gap Calculator'!O54)</f>
        <v>-</v>
      </c>
      <c r="AC15" s="564" t="str">
        <f>IF(SUM('Gap Calculator'!$L54:$AF54)=0,"-",'Gap Calculator'!P54)</f>
        <v>-</v>
      </c>
      <c r="AD15" s="564" t="str">
        <f>IF(SUM('Gap Calculator'!$L54:$AF54)=0,"-",'Gap Calculator'!Q54)</f>
        <v>-</v>
      </c>
      <c r="AE15" s="564" t="str">
        <f>IF(SUM('Gap Calculator'!$L54:$AF54)=0,"-",'Gap Calculator'!R54)</f>
        <v>-</v>
      </c>
      <c r="AF15" s="564" t="str">
        <f>IF(SUM('Gap Calculator'!$L54:$AF54)=0,"-",'Gap Calculator'!S54)</f>
        <v>-</v>
      </c>
      <c r="AG15" s="564" t="str">
        <f>IF(SUM('Gap Calculator'!$L54:$AF54)=0,"-",'Gap Calculator'!T54)</f>
        <v>-</v>
      </c>
      <c r="AH15" s="564" t="str">
        <f>IF(SUM('Gap Calculator'!$L54:$AF54)=0,"-",'Gap Calculator'!U54)</f>
        <v>-</v>
      </c>
      <c r="AI15" s="564" t="str">
        <f>IF(SUM('Gap Calculator'!$L54:$AF54)=0,"-",'Gap Calculator'!V54)</f>
        <v>-</v>
      </c>
      <c r="AJ15" s="564" t="str">
        <f>IF(SUM('Gap Calculator'!$L54:$AF54)=0,"-",'Gap Calculator'!W54)</f>
        <v>-</v>
      </c>
      <c r="AK15" s="564" t="str">
        <f>IF(SUM('Gap Calculator'!$L54:$AF54)=0,"-",'Gap Calculator'!X54)</f>
        <v>-</v>
      </c>
      <c r="AL15" s="564" t="str">
        <f>IF(SUM('Gap Calculator'!$L54:$AF54)=0,"-",'Gap Calculator'!Y54)</f>
        <v>-</v>
      </c>
      <c r="AM15" s="564" t="str">
        <f>IF(SUM('Gap Calculator'!$L54:$AF54)=0,"-",'Gap Calculator'!Z54)</f>
        <v>-</v>
      </c>
      <c r="AN15" s="564" t="str">
        <f>IF(SUM('Gap Calculator'!$L54:$AF54)=0,"-",'Gap Calculator'!AA54)</f>
        <v>-</v>
      </c>
      <c r="AO15" s="564" t="str">
        <f>IF(SUM('Gap Calculator'!$L54:$AF54)=0,"-",'Gap Calculator'!AB54)</f>
        <v>-</v>
      </c>
      <c r="AP15" s="564" t="str">
        <f>IF(SUM('Gap Calculator'!$L54:$AF54)=0,"-",'Gap Calculator'!AC54)</f>
        <v>-</v>
      </c>
      <c r="AQ15" s="564" t="str">
        <f>IF(SUM('Gap Calculator'!$L54:$AF54)=0,"-",'Gap Calculator'!AD54)</f>
        <v>-</v>
      </c>
      <c r="AR15" s="564" t="str">
        <f>IF(SUM('Gap Calculator'!$L54:$AF54)=0,"-",'Gap Calculator'!AE54)</f>
        <v>-</v>
      </c>
      <c r="AS15" s="565" t="str">
        <f>IF(SUM('Gap Calculator'!$L54:$AF54)=0,"-",'Gap Calculator'!AF54)</f>
        <v>-</v>
      </c>
    </row>
    <row r="16" spans="1:45" ht="15.6" x14ac:dyDescent="0.3">
      <c r="W16" s="982" t="s">
        <v>463</v>
      </c>
      <c r="X16" s="555" t="str">
        <f>'Gap Calculator'!I55</f>
        <v>Energy Generation - Export</v>
      </c>
      <c r="Y16" s="556" t="str">
        <f>IF(SUM('Gap Calculator'!$L55:$AF55)=0,"-",'Gap Calculator'!L55)</f>
        <v>-</v>
      </c>
      <c r="Z16" s="556" t="str">
        <f>IF(SUM('Gap Calculator'!$L55:$AF55)=0,"-",'Gap Calculator'!M55)</f>
        <v>-</v>
      </c>
      <c r="AA16" s="556" t="str">
        <f>IF(SUM('Gap Calculator'!$L55:$AF55)=0,"-",'Gap Calculator'!N55)</f>
        <v>-</v>
      </c>
      <c r="AB16" s="556" t="str">
        <f>IF(SUM('Gap Calculator'!$L55:$AF55)=0,"-",'Gap Calculator'!O55)</f>
        <v>-</v>
      </c>
      <c r="AC16" s="556" t="str">
        <f>IF(SUM('Gap Calculator'!$L55:$AF55)=0,"-",'Gap Calculator'!P55)</f>
        <v>-</v>
      </c>
      <c r="AD16" s="556" t="str">
        <f>IF(SUM('Gap Calculator'!$L55:$AF55)=0,"-",'Gap Calculator'!Q55)</f>
        <v>-</v>
      </c>
      <c r="AE16" s="556" t="str">
        <f>IF(SUM('Gap Calculator'!$L55:$AF55)=0,"-",'Gap Calculator'!R55)</f>
        <v>-</v>
      </c>
      <c r="AF16" s="556" t="str">
        <f>IF(SUM('Gap Calculator'!$L55:$AF55)=0,"-",'Gap Calculator'!S55)</f>
        <v>-</v>
      </c>
      <c r="AG16" s="556" t="str">
        <f>IF(SUM('Gap Calculator'!$L55:$AF55)=0,"-",'Gap Calculator'!T55)</f>
        <v>-</v>
      </c>
      <c r="AH16" s="556" t="str">
        <f>IF(SUM('Gap Calculator'!$L55:$AF55)=0,"-",'Gap Calculator'!U55)</f>
        <v>-</v>
      </c>
      <c r="AI16" s="556" t="str">
        <f>IF(SUM('Gap Calculator'!$L55:$AF55)=0,"-",'Gap Calculator'!V55)</f>
        <v>-</v>
      </c>
      <c r="AJ16" s="556" t="str">
        <f>IF(SUM('Gap Calculator'!$L55:$AF55)=0,"-",'Gap Calculator'!W55)</f>
        <v>-</v>
      </c>
      <c r="AK16" s="556" t="str">
        <f>IF(SUM('Gap Calculator'!$L55:$AF55)=0,"-",'Gap Calculator'!X55)</f>
        <v>-</v>
      </c>
      <c r="AL16" s="556" t="str">
        <f>IF(SUM('Gap Calculator'!$L55:$AF55)=0,"-",'Gap Calculator'!Y55)</f>
        <v>-</v>
      </c>
      <c r="AM16" s="556" t="str">
        <f>IF(SUM('Gap Calculator'!$L55:$AF55)=0,"-",'Gap Calculator'!Z55)</f>
        <v>-</v>
      </c>
      <c r="AN16" s="556" t="str">
        <f>IF(SUM('Gap Calculator'!$L55:$AF55)=0,"-",'Gap Calculator'!AA55)</f>
        <v>-</v>
      </c>
      <c r="AO16" s="556" t="str">
        <f>IF(SUM('Gap Calculator'!$L55:$AF55)=0,"-",'Gap Calculator'!AB55)</f>
        <v>-</v>
      </c>
      <c r="AP16" s="556" t="str">
        <f>IF(SUM('Gap Calculator'!$L55:$AF55)=0,"-",'Gap Calculator'!AC55)</f>
        <v>-</v>
      </c>
      <c r="AQ16" s="556" t="str">
        <f>IF(SUM('Gap Calculator'!$L55:$AF55)=0,"-",'Gap Calculator'!AD55)</f>
        <v>-</v>
      </c>
      <c r="AR16" s="556" t="str">
        <f>IF(SUM('Gap Calculator'!$L55:$AF55)=0,"-",'Gap Calculator'!AE55)</f>
        <v>-</v>
      </c>
      <c r="AS16" s="557" t="str">
        <f>IF(SUM('Gap Calculator'!$L55:$AF55)=0,"-",'Gap Calculator'!AF55)</f>
        <v>-</v>
      </c>
    </row>
    <row r="17" spans="18:45" ht="15.6" x14ac:dyDescent="0.3">
      <c r="W17" s="983"/>
      <c r="X17" s="560" t="str">
        <f>'Gap Calculator'!I56</f>
        <v>Generation Capacity</v>
      </c>
      <c r="Y17" s="556">
        <f>IF(SUM('Gap Calculator'!$L56:$AF56)=0,"-",'Gap Calculator'!L56)</f>
        <v>0</v>
      </c>
      <c r="Z17" s="556">
        <f>IF(SUM('Gap Calculator'!$L56:$AF56)=0,"-",'Gap Calculator'!M56)</f>
        <v>364.57937608314802</v>
      </c>
      <c r="AA17" s="556">
        <f>IF(SUM('Gap Calculator'!$L56:$AF56)=0,"-",'Gap Calculator'!N56)</f>
        <v>364.57937608314802</v>
      </c>
      <c r="AB17" s="556">
        <f>IF(SUM('Gap Calculator'!$L56:$AF56)=0,"-",'Gap Calculator'!O56)</f>
        <v>291.6635008665184</v>
      </c>
      <c r="AC17" s="556">
        <f>IF(SUM('Gap Calculator'!$L56:$AF56)=0,"-",'Gap Calculator'!P56)</f>
        <v>291.6635008665184</v>
      </c>
      <c r="AD17" s="556">
        <f>IF(SUM('Gap Calculator'!$L56:$AF56)=0,"-",'Gap Calculator'!Q56)</f>
        <v>291.6635008665184</v>
      </c>
      <c r="AE17" s="556">
        <f>IF(SUM('Gap Calculator'!$L56:$AF56)=0,"-",'Gap Calculator'!R56)</f>
        <v>291.6635008665184</v>
      </c>
      <c r="AF17" s="556">
        <f>IF(SUM('Gap Calculator'!$L56:$AF56)=0,"-",'Gap Calculator'!S56)</f>
        <v>291.6635008665184</v>
      </c>
      <c r="AG17" s="556">
        <f>IF(SUM('Gap Calculator'!$L56:$AF56)=0,"-",'Gap Calculator'!T56)</f>
        <v>291.6635008665184</v>
      </c>
      <c r="AH17" s="556">
        <f>IF(SUM('Gap Calculator'!$L56:$AF56)=0,"-",'Gap Calculator'!U56)</f>
        <v>291.6635008665184</v>
      </c>
      <c r="AI17" s="556">
        <f>IF(SUM('Gap Calculator'!$L56:$AF56)=0,"-",'Gap Calculator'!V56)</f>
        <v>291.6635008665184</v>
      </c>
      <c r="AJ17" s="556">
        <f>IF(SUM('Gap Calculator'!$L56:$AF56)=0,"-",'Gap Calculator'!W56)</f>
        <v>300.36661668606462</v>
      </c>
      <c r="AK17" s="556">
        <f>IF(SUM('Gap Calculator'!$L56:$AF56)=0,"-",'Gap Calculator'!X56)</f>
        <v>309.06973250561083</v>
      </c>
      <c r="AL17" s="556">
        <f>IF(SUM('Gap Calculator'!$L56:$AF56)=0,"-",'Gap Calculator'!Y56)</f>
        <v>317.77284832515704</v>
      </c>
      <c r="AM17" s="556">
        <f>IF(SUM('Gap Calculator'!$L56:$AF56)=0,"-",'Gap Calculator'!Z56)</f>
        <v>326.47596414470325</v>
      </c>
      <c r="AN17" s="556">
        <f>IF(SUM('Gap Calculator'!$L56:$AF56)=0,"-",'Gap Calculator'!AA56)</f>
        <v>335.17907996424947</v>
      </c>
      <c r="AO17" s="556">
        <f>IF(SUM('Gap Calculator'!$L56:$AF56)=0,"-",'Gap Calculator'!AB56)</f>
        <v>344.50751859096465</v>
      </c>
      <c r="AP17" s="556">
        <f>IF(SUM('Gap Calculator'!$L56:$AF56)=0,"-",'Gap Calculator'!AC56)</f>
        <v>353.83595721767983</v>
      </c>
      <c r="AQ17" s="556">
        <f>IF(SUM('Gap Calculator'!$L56:$AF56)=0,"-",'Gap Calculator'!AD56)</f>
        <v>363.16439584439507</v>
      </c>
      <c r="AR17" s="556">
        <f>IF(SUM('Gap Calculator'!$L56:$AF56)=0,"-",'Gap Calculator'!AE56)</f>
        <v>372.49283447111026</v>
      </c>
      <c r="AS17" s="557">
        <f>IF(SUM('Gap Calculator'!$L56:$AF56)=0,"-",'Gap Calculator'!AF56)</f>
        <v>381.82127309782544</v>
      </c>
    </row>
    <row r="18" spans="18:45" ht="15.6" x14ac:dyDescent="0.3">
      <c r="W18" s="983"/>
      <c r="X18" s="560" t="str">
        <f>'Gap Calculator'!I57</f>
        <v>Transmission Capacity</v>
      </c>
      <c r="Y18" s="556">
        <f>IF(SUM('Gap Calculator'!$L57:$AF57)=0,"-",'Gap Calculator'!L57)</f>
        <v>0</v>
      </c>
      <c r="Z18" s="556">
        <f>IF(SUM('Gap Calculator'!$L57:$AF57)=0,"-",'Gap Calculator'!M57)</f>
        <v>122.16203886869096</v>
      </c>
      <c r="AA18" s="556">
        <f>IF(SUM('Gap Calculator'!$L57:$AF57)=0,"-",'Gap Calculator'!N57)</f>
        <v>122.16203886869096</v>
      </c>
      <c r="AB18" s="556">
        <f>IF(SUM('Gap Calculator'!$L57:$AF57)=0,"-",'Gap Calculator'!O57)</f>
        <v>97.729631094952751</v>
      </c>
      <c r="AC18" s="556">
        <f>IF(SUM('Gap Calculator'!$L57:$AF57)=0,"-",'Gap Calculator'!P57)</f>
        <v>97.729631094952751</v>
      </c>
      <c r="AD18" s="556">
        <f>IF(SUM('Gap Calculator'!$L57:$AF57)=0,"-",'Gap Calculator'!Q57)</f>
        <v>97.729631094952751</v>
      </c>
      <c r="AE18" s="556">
        <f>IF(SUM('Gap Calculator'!$L57:$AF57)=0,"-",'Gap Calculator'!R57)</f>
        <v>97.729631094952751</v>
      </c>
      <c r="AF18" s="556">
        <f>IF(SUM('Gap Calculator'!$L57:$AF57)=0,"-",'Gap Calculator'!S57)</f>
        <v>97.729631094952751</v>
      </c>
      <c r="AG18" s="556">
        <f>IF(SUM('Gap Calculator'!$L57:$AF57)=0,"-",'Gap Calculator'!T57)</f>
        <v>97.729631094952751</v>
      </c>
      <c r="AH18" s="556">
        <f>IF(SUM('Gap Calculator'!$L57:$AF57)=0,"-",'Gap Calculator'!U57)</f>
        <v>97.729631094952751</v>
      </c>
      <c r="AI18" s="556">
        <f>IF(SUM('Gap Calculator'!$L57:$AF57)=0,"-",'Gap Calculator'!V57)</f>
        <v>97.729631094952751</v>
      </c>
      <c r="AJ18" s="556">
        <f>IF(SUM('Gap Calculator'!$L57:$AF57)=0,"-",'Gap Calculator'!W57)</f>
        <v>99.247468734139431</v>
      </c>
      <c r="AK18" s="556">
        <f>IF(SUM('Gap Calculator'!$L57:$AF57)=0,"-",'Gap Calculator'!X57)</f>
        <v>100.7653063733261</v>
      </c>
      <c r="AL18" s="556">
        <f>IF(SUM('Gap Calculator'!$L57:$AF57)=0,"-",'Gap Calculator'!Y57)</f>
        <v>102.28314401251278</v>
      </c>
      <c r="AM18" s="556">
        <f>IF(SUM('Gap Calculator'!$L57:$AF57)=0,"-",'Gap Calculator'!Z57)</f>
        <v>103.80098165169944</v>
      </c>
      <c r="AN18" s="556">
        <f>IF(SUM('Gap Calculator'!$L57:$AF57)=0,"-",'Gap Calculator'!AA57)</f>
        <v>105.31881929088613</v>
      </c>
      <c r="AO18" s="556">
        <f>IF(SUM('Gap Calculator'!$L57:$AF57)=0,"-",'Gap Calculator'!AB57)</f>
        <v>108.24996923645531</v>
      </c>
      <c r="AP18" s="556">
        <f>IF(SUM('Gap Calculator'!$L57:$AF57)=0,"-",'Gap Calculator'!AC57)</f>
        <v>111.1811191820245</v>
      </c>
      <c r="AQ18" s="556">
        <f>IF(SUM('Gap Calculator'!$L57:$AF57)=0,"-",'Gap Calculator'!AD57)</f>
        <v>114.11226912759369</v>
      </c>
      <c r="AR18" s="556">
        <f>IF(SUM('Gap Calculator'!$L57:$AF57)=0,"-",'Gap Calculator'!AE57)</f>
        <v>117.04341907316287</v>
      </c>
      <c r="AS18" s="557">
        <f>IF(SUM('Gap Calculator'!$L57:$AF57)=0,"-",'Gap Calculator'!AF57)</f>
        <v>119.97456901873205</v>
      </c>
    </row>
    <row r="19" spans="18:45" ht="15.6" x14ac:dyDescent="0.3">
      <c r="W19" s="983"/>
      <c r="X19" s="560" t="str">
        <f>'Gap Calculator'!I58</f>
        <v>Distribution Capacity</v>
      </c>
      <c r="Y19" s="556">
        <f>IF(SUM('Gap Calculator'!$L58:$AF58)=0,"-",'Gap Calculator'!L58)</f>
        <v>0</v>
      </c>
      <c r="Z19" s="556">
        <f>IF(SUM('Gap Calculator'!$L58:$AF58)=0,"-",'Gap Calculator'!M58)</f>
        <v>30.114704533615988</v>
      </c>
      <c r="AA19" s="556">
        <f>IF(SUM('Gap Calculator'!$L58:$AF58)=0,"-",'Gap Calculator'!N58)</f>
        <v>30.114704533615992</v>
      </c>
      <c r="AB19" s="556">
        <f>IF(SUM('Gap Calculator'!$L58:$AF58)=0,"-",'Gap Calculator'!O58)</f>
        <v>23.680641380700092</v>
      </c>
      <c r="AC19" s="556">
        <f>IF(SUM('Gap Calculator'!$L58:$AF58)=0,"-",'Gap Calculator'!P58)</f>
        <v>24.33843697460842</v>
      </c>
      <c r="AD19" s="556">
        <f>IF(SUM('Gap Calculator'!$L58:$AF58)=0,"-",'Gap Calculator'!Q58)</f>
        <v>22.714523474391903</v>
      </c>
      <c r="AE19" s="556">
        <f>IF(SUM('Gap Calculator'!$L58:$AF58)=0,"-",'Gap Calculator'!R58)</f>
        <v>22.924191945501249</v>
      </c>
      <c r="AF19" s="556">
        <f>IF(SUM('Gap Calculator'!$L58:$AF58)=0,"-",'Gap Calculator'!S58)</f>
        <v>23.133860416610595</v>
      </c>
      <c r="AG19" s="556">
        <f>IF(SUM('Gap Calculator'!$L58:$AF58)=0,"-",'Gap Calculator'!T58)</f>
        <v>23.343528887719938</v>
      </c>
      <c r="AH19" s="556">
        <f>IF(SUM('Gap Calculator'!$L58:$AF58)=0,"-",'Gap Calculator'!U58)</f>
        <v>23.553197358829284</v>
      </c>
      <c r="AI19" s="556">
        <f>IF(SUM('Gap Calculator'!$L58:$AF58)=0,"-",'Gap Calculator'!V58)</f>
        <v>23.76286582993863</v>
      </c>
      <c r="AJ19" s="556">
        <f>IF(SUM('Gap Calculator'!$L58:$AF58)=0,"-",'Gap Calculator'!W58)</f>
        <v>24.419911914265136</v>
      </c>
      <c r="AK19" s="556">
        <f>IF(SUM('Gap Calculator'!$L58:$AF58)=0,"-",'Gap Calculator'!X58)</f>
        <v>25.076957998591642</v>
      </c>
      <c r="AL19" s="556">
        <f>IF(SUM('Gap Calculator'!$L58:$AF58)=0,"-",'Gap Calculator'!Y58)</f>
        <v>25.734004082918148</v>
      </c>
      <c r="AM19" s="556">
        <f>IF(SUM('Gap Calculator'!$L58:$AF58)=0,"-",'Gap Calculator'!Z58)</f>
        <v>26.391050167244654</v>
      </c>
      <c r="AN19" s="556">
        <f>IF(SUM('Gap Calculator'!$L58:$AF58)=0,"-",'Gap Calculator'!AA58)</f>
        <v>27.04809625157116</v>
      </c>
      <c r="AO19" s="556">
        <f>IF(SUM('Gap Calculator'!$L58:$AF58)=0,"-",'Gap Calculator'!AB58)</f>
        <v>27.464515035499282</v>
      </c>
      <c r="AP19" s="556">
        <f>IF(SUM('Gap Calculator'!$L58:$AF58)=0,"-",'Gap Calculator'!AC58)</f>
        <v>27.880933819427408</v>
      </c>
      <c r="AQ19" s="556">
        <f>IF(SUM('Gap Calculator'!$L58:$AF58)=0,"-",'Gap Calculator'!AD58)</f>
        <v>28.297352603355531</v>
      </c>
      <c r="AR19" s="556">
        <f>IF(SUM('Gap Calculator'!$L58:$AF58)=0,"-",'Gap Calculator'!AE58)</f>
        <v>28.713771387283657</v>
      </c>
      <c r="AS19" s="557">
        <f>IF(SUM('Gap Calculator'!$L58:$AF58)=0,"-",'Gap Calculator'!AF58)</f>
        <v>29.13019017121178</v>
      </c>
    </row>
    <row r="20" spans="18:45" ht="15.6" x14ac:dyDescent="0.3">
      <c r="W20" s="983"/>
      <c r="X20" s="560" t="str">
        <f>'Gap Calculator'!I59</f>
        <v>GHG Impacts</v>
      </c>
      <c r="Y20" s="556">
        <f>IF(SUM('Gap Calculator'!$L59:$AF59)=0,"-",'Gap Calculator'!L59)</f>
        <v>0</v>
      </c>
      <c r="Z20" s="556">
        <f>IF(SUM('Gap Calculator'!$L59:$AF59)=0,"-",'Gap Calculator'!M59)</f>
        <v>143.47714610799684</v>
      </c>
      <c r="AA20" s="556">
        <f>IF(SUM('Gap Calculator'!$L59:$AF59)=0,"-",'Gap Calculator'!N59)</f>
        <v>117.46765740705874</v>
      </c>
      <c r="AB20" s="556">
        <f>IF(SUM('Gap Calculator'!$L59:$AF59)=0,"-",'Gap Calculator'!O59)</f>
        <v>63.005407372540716</v>
      </c>
      <c r="AC20" s="556">
        <f>IF(SUM('Gap Calculator'!$L59:$AF59)=0,"-",'Gap Calculator'!P59)</f>
        <v>82.481235322387548</v>
      </c>
      <c r="AD20" s="556">
        <f>IF(SUM('Gap Calculator'!$L59:$AF59)=0,"-",'Gap Calculator'!Q59)</f>
        <v>112.59345223469656</v>
      </c>
      <c r="AE20" s="556">
        <f>IF(SUM('Gap Calculator'!$L59:$AF59)=0,"-",'Gap Calculator'!R59)</f>
        <v>138.57086877693831</v>
      </c>
      <c r="AF20" s="556">
        <f>IF(SUM('Gap Calculator'!$L59:$AF59)=0,"-",'Gap Calculator'!S59)</f>
        <v>164.54828531918008</v>
      </c>
      <c r="AG20" s="556">
        <f>IF(SUM('Gap Calculator'!$L59:$AF59)=0,"-",'Gap Calculator'!T59)</f>
        <v>190.52570186142185</v>
      </c>
      <c r="AH20" s="556">
        <f>IF(SUM('Gap Calculator'!$L59:$AF59)=0,"-",'Gap Calculator'!U59)</f>
        <v>216.50311840366359</v>
      </c>
      <c r="AI20" s="556">
        <f>IF(SUM('Gap Calculator'!$L59:$AF59)=0,"-",'Gap Calculator'!V59)</f>
        <v>242.48053494590533</v>
      </c>
      <c r="AJ20" s="556">
        <f>IF(SUM('Gap Calculator'!$L59:$AF59)=0,"-",'Gap Calculator'!W59)</f>
        <v>261.7236545004256</v>
      </c>
      <c r="AK20" s="556">
        <f>IF(SUM('Gap Calculator'!$L59:$AF59)=0,"-",'Gap Calculator'!X59)</f>
        <v>280.96677405494586</v>
      </c>
      <c r="AL20" s="556">
        <f>IF(SUM('Gap Calculator'!$L59:$AF59)=0,"-",'Gap Calculator'!Y59)</f>
        <v>300.20989360946612</v>
      </c>
      <c r="AM20" s="556">
        <f>IF(SUM('Gap Calculator'!$L59:$AF59)=0,"-",'Gap Calculator'!Z59)</f>
        <v>319.45301316398638</v>
      </c>
      <c r="AN20" s="556">
        <f>IF(SUM('Gap Calculator'!$L59:$AF59)=0,"-",'Gap Calculator'!AA59)</f>
        <v>338.69613271850665</v>
      </c>
      <c r="AO20" s="556">
        <f>IF(SUM('Gap Calculator'!$L59:$AF59)=0,"-",'Gap Calculator'!AB59)</f>
        <v>359.7033237513383</v>
      </c>
      <c r="AP20" s="556">
        <f>IF(SUM('Gap Calculator'!$L59:$AF59)=0,"-",'Gap Calculator'!AC59)</f>
        <v>380.71051478416996</v>
      </c>
      <c r="AQ20" s="556">
        <f>IF(SUM('Gap Calculator'!$L59:$AF59)=0,"-",'Gap Calculator'!AD59)</f>
        <v>401.71770581700162</v>
      </c>
      <c r="AR20" s="556">
        <f>IF(SUM('Gap Calculator'!$L59:$AF59)=0,"-",'Gap Calculator'!AE59)</f>
        <v>422.72489684983321</v>
      </c>
      <c r="AS20" s="557">
        <f>IF(SUM('Gap Calculator'!$L59:$AF59)=0,"-",'Gap Calculator'!AF59)</f>
        <v>443.73208788266487</v>
      </c>
    </row>
    <row r="21" spans="18:45" ht="15.6" x14ac:dyDescent="0.3">
      <c r="W21" s="983"/>
      <c r="X21" s="560" t="str">
        <f>'Gap Calculator'!I60</f>
        <v>Market Price Effects - Wholesale Energy</v>
      </c>
      <c r="Y21" s="556">
        <f>IF(SUM('Gap Calculator'!$L60:$AF60)=0,"-",'Gap Calculator'!L60)</f>
        <v>0</v>
      </c>
      <c r="Z21" s="556">
        <f>IF(SUM('Gap Calculator'!$L60:$AF60)=0,"-",'Gap Calculator'!M60)</f>
        <v>23.035248702346333</v>
      </c>
      <c r="AA21" s="556">
        <f>IF(SUM('Gap Calculator'!$L60:$AF60)=0,"-",'Gap Calculator'!N60)</f>
        <v>39.423424851736492</v>
      </c>
      <c r="AB21" s="556">
        <f>IF(SUM('Gap Calculator'!$L60:$AF60)=0,"-",'Gap Calculator'!O60)</f>
        <v>54.352395858219772</v>
      </c>
      <c r="AC21" s="556">
        <f>IF(SUM('Gap Calculator'!$L60:$AF60)=0,"-",'Gap Calculator'!P60)</f>
        <v>55.05125615688199</v>
      </c>
      <c r="AD21" s="556">
        <f>IF(SUM('Gap Calculator'!$L60:$AF60)=0,"-",'Gap Calculator'!Q60)</f>
        <v>70.339651868814656</v>
      </c>
      <c r="AE21" s="556">
        <f>IF(SUM('Gap Calculator'!$L60:$AF60)=0,"-",'Gap Calculator'!R60)</f>
        <v>63.465537245320895</v>
      </c>
      <c r="AF21" s="556">
        <f>IF(SUM('Gap Calculator'!$L60:$AF60)=0,"-",'Gap Calculator'!S60)</f>
        <v>56.591422621827128</v>
      </c>
      <c r="AG21" s="556">
        <f>IF(SUM('Gap Calculator'!$L60:$AF60)=0,"-",'Gap Calculator'!T60)</f>
        <v>49.717307998333368</v>
      </c>
      <c r="AH21" s="556">
        <f>IF(SUM('Gap Calculator'!$L60:$AF60)=0,"-",'Gap Calculator'!U60)</f>
        <v>42.843193374839601</v>
      </c>
      <c r="AI21" s="556">
        <f>IF(SUM('Gap Calculator'!$L60:$AF60)=0,"-",'Gap Calculator'!V60)</f>
        <v>35.96907875134584</v>
      </c>
      <c r="AJ21" s="556">
        <f>IF(SUM('Gap Calculator'!$L60:$AF60)=0,"-",'Gap Calculator'!W60)</f>
        <v>42.163215486230513</v>
      </c>
      <c r="AK21" s="556">
        <f>IF(SUM('Gap Calculator'!$L60:$AF60)=0,"-",'Gap Calculator'!X60)</f>
        <v>48.357352221115178</v>
      </c>
      <c r="AL21" s="556">
        <f>IF(SUM('Gap Calculator'!$L60:$AF60)=0,"-",'Gap Calculator'!Y60)</f>
        <v>54.551488955999851</v>
      </c>
      <c r="AM21" s="556">
        <f>IF(SUM('Gap Calculator'!$L60:$AF60)=0,"-",'Gap Calculator'!Z60)</f>
        <v>60.745625690884523</v>
      </c>
      <c r="AN21" s="556">
        <f>IF(SUM('Gap Calculator'!$L60:$AF60)=0,"-",'Gap Calculator'!AA60)</f>
        <v>66.939762425769189</v>
      </c>
      <c r="AO21" s="556">
        <f>IF(SUM('Gap Calculator'!$L60:$AF60)=0,"-",'Gap Calculator'!AB60)</f>
        <v>70.117159035893849</v>
      </c>
      <c r="AP21" s="556">
        <f>IF(SUM('Gap Calculator'!$L60:$AF60)=0,"-",'Gap Calculator'!AC60)</f>
        <v>73.294555646018509</v>
      </c>
      <c r="AQ21" s="556">
        <f>IF(SUM('Gap Calculator'!$L60:$AF60)=0,"-",'Gap Calculator'!AD60)</f>
        <v>76.471952256143169</v>
      </c>
      <c r="AR21" s="556">
        <f>IF(SUM('Gap Calculator'!$L60:$AF60)=0,"-",'Gap Calculator'!AE60)</f>
        <v>79.649348866267829</v>
      </c>
      <c r="AS21" s="557">
        <f>IF(SUM('Gap Calculator'!$L60:$AF60)=0,"-",'Gap Calculator'!AF60)</f>
        <v>82.826745476392489</v>
      </c>
    </row>
    <row r="22" spans="18:45" ht="16.2" thickBot="1" x14ac:dyDescent="0.35">
      <c r="W22" s="984"/>
      <c r="X22" s="561" t="str">
        <f>'Gap Calculator'!I61</f>
        <v>Market Price Effects - Wholesale Capacity</v>
      </c>
      <c r="Y22" s="563" t="str">
        <f>IF(SUM('Gap Calculator'!$L61:$AF61)=0,"-",'Gap Calculator'!L61)</f>
        <v>-</v>
      </c>
      <c r="Z22" s="564" t="str">
        <f>IF(SUM('Gap Calculator'!$L61:$AF61)=0,"-",'Gap Calculator'!M61)</f>
        <v>-</v>
      </c>
      <c r="AA22" s="564" t="str">
        <f>IF(SUM('Gap Calculator'!$L61:$AF61)=0,"-",'Gap Calculator'!N61)</f>
        <v>-</v>
      </c>
      <c r="AB22" s="564" t="str">
        <f>IF(SUM('Gap Calculator'!$L61:$AF61)=0,"-",'Gap Calculator'!O61)</f>
        <v>-</v>
      </c>
      <c r="AC22" s="564" t="str">
        <f>IF(SUM('Gap Calculator'!$L61:$AF61)=0,"-",'Gap Calculator'!P61)</f>
        <v>-</v>
      </c>
      <c r="AD22" s="564" t="str">
        <f>IF(SUM('Gap Calculator'!$L61:$AF61)=0,"-",'Gap Calculator'!Q61)</f>
        <v>-</v>
      </c>
      <c r="AE22" s="564" t="str">
        <f>IF(SUM('Gap Calculator'!$L61:$AF61)=0,"-",'Gap Calculator'!R61)</f>
        <v>-</v>
      </c>
      <c r="AF22" s="564" t="str">
        <f>IF(SUM('Gap Calculator'!$L61:$AF61)=0,"-",'Gap Calculator'!S61)</f>
        <v>-</v>
      </c>
      <c r="AG22" s="564" t="str">
        <f>IF(SUM('Gap Calculator'!$L61:$AF61)=0,"-",'Gap Calculator'!T61)</f>
        <v>-</v>
      </c>
      <c r="AH22" s="564" t="str">
        <f>IF(SUM('Gap Calculator'!$L61:$AF61)=0,"-",'Gap Calculator'!U61)</f>
        <v>-</v>
      </c>
      <c r="AI22" s="564" t="str">
        <f>IF(SUM('Gap Calculator'!$L61:$AF61)=0,"-",'Gap Calculator'!V61)</f>
        <v>-</v>
      </c>
      <c r="AJ22" s="564" t="str">
        <f>IF(SUM('Gap Calculator'!$L61:$AF61)=0,"-",'Gap Calculator'!W61)</f>
        <v>-</v>
      </c>
      <c r="AK22" s="564" t="str">
        <f>IF(SUM('Gap Calculator'!$L61:$AF61)=0,"-",'Gap Calculator'!X61)</f>
        <v>-</v>
      </c>
      <c r="AL22" s="564" t="str">
        <f>IF(SUM('Gap Calculator'!$L61:$AF61)=0,"-",'Gap Calculator'!Y61)</f>
        <v>-</v>
      </c>
      <c r="AM22" s="564" t="str">
        <f>IF(SUM('Gap Calculator'!$L61:$AF61)=0,"-",'Gap Calculator'!Z61)</f>
        <v>-</v>
      </c>
      <c r="AN22" s="564" t="str">
        <f>IF(SUM('Gap Calculator'!$L61:$AF61)=0,"-",'Gap Calculator'!AA61)</f>
        <v>-</v>
      </c>
      <c r="AO22" s="564" t="str">
        <f>IF(SUM('Gap Calculator'!$L61:$AF61)=0,"-",'Gap Calculator'!AB61)</f>
        <v>-</v>
      </c>
      <c r="AP22" s="564" t="str">
        <f>IF(SUM('Gap Calculator'!$L61:$AF61)=0,"-",'Gap Calculator'!AC61)</f>
        <v>-</v>
      </c>
      <c r="AQ22" s="564" t="str">
        <f>IF(SUM('Gap Calculator'!$L61:$AF61)=0,"-",'Gap Calculator'!AD61)</f>
        <v>-</v>
      </c>
      <c r="AR22" s="564" t="str">
        <f>IF(SUM('Gap Calculator'!$L61:$AF61)=0,"-",'Gap Calculator'!AE61)</f>
        <v>-</v>
      </c>
      <c r="AS22" s="565" t="str">
        <f>IF(SUM('Gap Calculator'!$L61:$AF61)=0,"-",'Gap Calculator'!AF61)</f>
        <v>-</v>
      </c>
    </row>
    <row r="23" spans="18:45" ht="16.2" thickBot="1" x14ac:dyDescent="0.35">
      <c r="W23" s="567" t="s">
        <v>498</v>
      </c>
      <c r="X23" s="568" t="str">
        <f>'Gap Calculator'!I62</f>
        <v>Avoided Cost of Participant Backup Generator</v>
      </c>
      <c r="Y23" s="569">
        <f>IF(SUM('Gap Calculator'!$L62:$AF62)=0,"-",'Gap Calculator'!L62)</f>
        <v>0</v>
      </c>
      <c r="Z23" s="570">
        <f>IF(SUM('Gap Calculator'!$L62:$AF62)=0,"-",'Gap Calculator'!M62)</f>
        <v>2000</v>
      </c>
      <c r="AA23" s="570">
        <f>IF(SUM('Gap Calculator'!$L62:$AF62)=0,"-",'Gap Calculator'!N62)</f>
        <v>0</v>
      </c>
      <c r="AB23" s="570">
        <f>IF(SUM('Gap Calculator'!$L62:$AF62)=0,"-",'Gap Calculator'!O62)</f>
        <v>0</v>
      </c>
      <c r="AC23" s="570">
        <f>IF(SUM('Gap Calculator'!$L62:$AF62)=0,"-",'Gap Calculator'!P62)</f>
        <v>0</v>
      </c>
      <c r="AD23" s="570">
        <f>IF(SUM('Gap Calculator'!$L62:$AF62)=0,"-",'Gap Calculator'!Q62)</f>
        <v>0</v>
      </c>
      <c r="AE23" s="570">
        <f>IF(SUM('Gap Calculator'!$L62:$AF62)=0,"-",'Gap Calculator'!R62)</f>
        <v>0</v>
      </c>
      <c r="AF23" s="570">
        <f>IF(SUM('Gap Calculator'!$L62:$AF62)=0,"-",'Gap Calculator'!S62)</f>
        <v>0</v>
      </c>
      <c r="AG23" s="570">
        <f>IF(SUM('Gap Calculator'!$L62:$AF62)=0,"-",'Gap Calculator'!T62)</f>
        <v>0</v>
      </c>
      <c r="AH23" s="570">
        <f>IF(SUM('Gap Calculator'!$L62:$AF62)=0,"-",'Gap Calculator'!U62)</f>
        <v>0</v>
      </c>
      <c r="AI23" s="570">
        <f>IF(SUM('Gap Calculator'!$L62:$AF62)=0,"-",'Gap Calculator'!V62)</f>
        <v>0</v>
      </c>
      <c r="AJ23" s="570">
        <f>IF(SUM('Gap Calculator'!$L62:$AF62)=0,"-",'Gap Calculator'!W62)</f>
        <v>0</v>
      </c>
      <c r="AK23" s="570">
        <f>IF(SUM('Gap Calculator'!$L62:$AF62)=0,"-",'Gap Calculator'!X62)</f>
        <v>0</v>
      </c>
      <c r="AL23" s="570">
        <f>IF(SUM('Gap Calculator'!$L62:$AF62)=0,"-",'Gap Calculator'!Y62)</f>
        <v>0</v>
      </c>
      <c r="AM23" s="570">
        <f>IF(SUM('Gap Calculator'!$L62:$AF62)=0,"-",'Gap Calculator'!Z62)</f>
        <v>0</v>
      </c>
      <c r="AN23" s="570">
        <f>IF(SUM('Gap Calculator'!$L62:$AF62)=0,"-",'Gap Calculator'!AA62)</f>
        <v>0</v>
      </c>
      <c r="AO23" s="570">
        <f>IF(SUM('Gap Calculator'!$L62:$AF62)=0,"-",'Gap Calculator'!AB62)</f>
        <v>0</v>
      </c>
      <c r="AP23" s="570">
        <f>IF(SUM('Gap Calculator'!$L62:$AF62)=0,"-",'Gap Calculator'!AC62)</f>
        <v>0</v>
      </c>
      <c r="AQ23" s="570">
        <f>IF(SUM('Gap Calculator'!$L62:$AF62)=0,"-",'Gap Calculator'!AD62)</f>
        <v>0</v>
      </c>
      <c r="AR23" s="570">
        <f>IF(SUM('Gap Calculator'!$L62:$AF62)=0,"-",'Gap Calculator'!AE62)</f>
        <v>0</v>
      </c>
      <c r="AS23" s="571">
        <f>IF(SUM('Gap Calculator'!$L62:$AF62)=0,"-",'Gap Calculator'!AF62)</f>
        <v>0</v>
      </c>
    </row>
    <row r="24" spans="18:45" x14ac:dyDescent="0.3">
      <c r="X24" s="572"/>
      <c r="Y24" s="572"/>
      <c r="Z24" s="572"/>
      <c r="AA24" s="572"/>
      <c r="AB24" s="572"/>
      <c r="AC24" s="572"/>
      <c r="AD24" s="572"/>
      <c r="AE24" s="572"/>
      <c r="AF24" s="572"/>
      <c r="AG24" s="572"/>
      <c r="AH24" s="572"/>
      <c r="AI24" s="572"/>
      <c r="AJ24" s="572"/>
      <c r="AK24" s="572"/>
      <c r="AL24" s="572"/>
      <c r="AM24" s="572"/>
      <c r="AN24" s="572"/>
      <c r="AO24" s="572"/>
      <c r="AP24" s="572"/>
      <c r="AQ24" s="572"/>
      <c r="AR24" s="572"/>
      <c r="AS24" s="572"/>
    </row>
    <row r="25" spans="18:45" ht="25.2" thickBot="1" x14ac:dyDescent="0.45">
      <c r="W25" s="547" t="s">
        <v>666</v>
      </c>
      <c r="X25" s="991" t="str">
        <f>"Case Number: " &amp; 'Gap Calculator'!E16</f>
        <v>Case Number: 1</v>
      </c>
      <c r="Y25" s="991"/>
      <c r="Z25" s="991"/>
      <c r="AA25" s="991"/>
      <c r="AB25" s="991"/>
      <c r="AC25" s="991"/>
      <c r="AD25" s="991"/>
      <c r="AE25" s="991"/>
      <c r="AF25" s="991"/>
      <c r="AG25" s="991"/>
      <c r="AH25" s="991"/>
      <c r="AI25" s="991"/>
      <c r="AJ25" s="991"/>
      <c r="AK25" s="991"/>
      <c r="AL25" s="991"/>
      <c r="AM25" s="991"/>
      <c r="AN25" s="991"/>
      <c r="AO25" s="991"/>
      <c r="AP25" s="572"/>
      <c r="AQ25" s="572"/>
      <c r="AR25" s="572"/>
      <c r="AS25" s="572"/>
    </row>
    <row r="26" spans="18:45" ht="16.2" thickBot="1" x14ac:dyDescent="0.35">
      <c r="W26" s="549" t="s">
        <v>668</v>
      </c>
      <c r="X26" s="549" t="s">
        <v>669</v>
      </c>
      <c r="Y26" s="573" t="s">
        <v>591</v>
      </c>
      <c r="Z26" s="552" t="s">
        <v>592</v>
      </c>
      <c r="AA26" s="574" t="s">
        <v>593</v>
      </c>
      <c r="AB26" s="572"/>
      <c r="AC26" s="572"/>
      <c r="AD26" s="572"/>
      <c r="AE26" s="572"/>
      <c r="AF26" s="572"/>
      <c r="AG26" s="572"/>
      <c r="AH26" s="572"/>
      <c r="AI26" s="572"/>
      <c r="AJ26" s="572"/>
      <c r="AK26" s="572"/>
      <c r="AL26" s="572"/>
      <c r="AM26" s="572"/>
      <c r="AN26" s="572"/>
      <c r="AO26" s="572"/>
      <c r="AP26" s="572"/>
      <c r="AQ26" s="572"/>
      <c r="AR26" s="572"/>
      <c r="AS26" s="572"/>
    </row>
    <row r="27" spans="18:45" ht="14.4" customHeight="1" x14ac:dyDescent="0.3">
      <c r="W27" s="985" t="s">
        <v>667</v>
      </c>
      <c r="X27" s="575" t="str">
        <f>'Gap Calculator'!I26</f>
        <v>Equity Investment</v>
      </c>
      <c r="Y27" s="576">
        <f>'Gap Calculator'!K26</f>
        <v>12480.888888888891</v>
      </c>
      <c r="Z27" s="577" t="s">
        <v>671</v>
      </c>
      <c r="AA27" s="578" t="str">
        <f>Z27</f>
        <v>-</v>
      </c>
      <c r="AB27" s="572"/>
      <c r="AC27" s="572"/>
      <c r="AD27" s="572"/>
      <c r="AE27" s="572"/>
      <c r="AF27" s="572"/>
      <c r="AG27" s="572"/>
      <c r="AH27" s="572"/>
      <c r="AI27" s="572"/>
      <c r="AJ27" s="572"/>
      <c r="AK27" s="572"/>
      <c r="AL27" s="572"/>
      <c r="AM27" s="572"/>
      <c r="AN27" s="572"/>
      <c r="AO27" s="572"/>
      <c r="AP27" s="572"/>
      <c r="AQ27" s="572"/>
      <c r="AR27" s="572"/>
      <c r="AS27" s="572"/>
    </row>
    <row r="28" spans="18:45" ht="25.2" customHeight="1" x14ac:dyDescent="0.3">
      <c r="W28" s="986"/>
      <c r="X28" s="579" t="str">
        <f>'Gap Calculator'!I27</f>
        <v>O&amp;M Expenses (Fixed + Variable)</v>
      </c>
      <c r="Y28" s="576">
        <f>'Gap Calculator'!K27</f>
        <v>2708.3726631330001</v>
      </c>
      <c r="Z28" s="577" t="s">
        <v>671</v>
      </c>
      <c r="AA28" s="578" t="str">
        <f t="shared" ref="AA28:AA41" si="0">Z28</f>
        <v>-</v>
      </c>
      <c r="AB28" s="572"/>
      <c r="AC28" s="572"/>
      <c r="AD28" s="572"/>
      <c r="AE28" s="572"/>
      <c r="AF28" s="572"/>
      <c r="AG28" s="572"/>
      <c r="AH28" s="572"/>
      <c r="AI28" s="572"/>
      <c r="AJ28" s="572"/>
      <c r="AK28" s="572"/>
      <c r="AL28" s="572"/>
      <c r="AM28" s="572"/>
      <c r="AN28" s="572"/>
      <c r="AO28" s="572"/>
      <c r="AP28" s="572"/>
      <c r="AQ28" s="572"/>
      <c r="AR28" s="572"/>
      <c r="AS28" s="572"/>
    </row>
    <row r="29" spans="18:45" ht="14.4" customHeight="1" x14ac:dyDescent="0.3">
      <c r="W29" s="986"/>
      <c r="X29" s="579" t="str">
        <f>'Gap Calculator'!I28</f>
        <v>Debt Service</v>
      </c>
      <c r="Y29" s="576">
        <f>'Gap Calculator'!K28</f>
        <v>0</v>
      </c>
      <c r="Z29" s="577" t="s">
        <v>671</v>
      </c>
      <c r="AA29" s="578" t="str">
        <f t="shared" si="0"/>
        <v>-</v>
      </c>
      <c r="AB29" s="572"/>
      <c r="AC29" s="572"/>
      <c r="AD29" s="572"/>
      <c r="AE29" s="572"/>
      <c r="AF29" s="572"/>
      <c r="AG29" s="572"/>
      <c r="AH29" s="572"/>
      <c r="AI29" s="572"/>
      <c r="AJ29" s="572"/>
      <c r="AK29" s="572"/>
      <c r="AL29" s="572"/>
      <c r="AM29" s="572"/>
      <c r="AN29" s="572"/>
      <c r="AO29" s="572"/>
      <c r="AP29" s="572"/>
      <c r="AQ29" s="572"/>
      <c r="AR29" s="572"/>
      <c r="AS29" s="572"/>
    </row>
    <row r="30" spans="18:45" ht="14.4" customHeight="1" x14ac:dyDescent="0.3">
      <c r="W30" s="986"/>
      <c r="X30" s="580" t="str">
        <f>'Gap Calculator'!I29</f>
        <v>Increase/(Decrease) in Maintenance Reserve and Change in Working Capital</v>
      </c>
      <c r="Y30" s="576">
        <f>'Gap Calculator'!K29</f>
        <v>57.972357835256858</v>
      </c>
      <c r="Z30" s="577" t="s">
        <v>671</v>
      </c>
      <c r="AA30" s="578" t="str">
        <f t="shared" si="0"/>
        <v>-</v>
      </c>
      <c r="AB30" s="572"/>
      <c r="AC30" s="572"/>
      <c r="AD30" s="572"/>
      <c r="AE30" s="572"/>
      <c r="AF30" s="572"/>
      <c r="AG30" s="572"/>
      <c r="AH30" s="572"/>
      <c r="AI30" s="572"/>
      <c r="AJ30" s="572"/>
      <c r="AK30" s="572"/>
      <c r="AL30" s="572"/>
      <c r="AM30" s="572"/>
      <c r="AN30" s="572"/>
      <c r="AO30" s="572"/>
      <c r="AP30" s="572"/>
      <c r="AQ30" s="572"/>
      <c r="AR30" s="572"/>
      <c r="AS30" s="572"/>
    </row>
    <row r="31" spans="18:45" ht="14.4" customHeight="1" thickBot="1" x14ac:dyDescent="0.35">
      <c r="R31" s="581"/>
      <c r="S31" s="581"/>
      <c r="T31" s="581"/>
      <c r="U31" s="581"/>
      <c r="V31" s="581"/>
      <c r="W31" s="987"/>
      <c r="X31" s="582" t="str">
        <f>'Gap Calculator'!I30</f>
        <v>Taxes Paid</v>
      </c>
      <c r="Y31" s="583">
        <f>'Gap Calculator'!K30</f>
        <v>317.00041421908753</v>
      </c>
      <c r="Z31" s="577" t="s">
        <v>671</v>
      </c>
      <c r="AA31" s="584" t="str">
        <f t="shared" si="0"/>
        <v>-</v>
      </c>
      <c r="AB31" s="572"/>
      <c r="AC31" s="572"/>
      <c r="AD31" s="572"/>
      <c r="AE31" s="572"/>
      <c r="AF31" s="572"/>
      <c r="AG31" s="572"/>
      <c r="AH31" s="572"/>
      <c r="AI31" s="572"/>
      <c r="AJ31" s="572"/>
      <c r="AK31" s="572"/>
      <c r="AL31" s="572"/>
      <c r="AM31" s="572"/>
      <c r="AN31" s="572"/>
      <c r="AO31" s="572"/>
      <c r="AP31" s="572"/>
      <c r="AQ31" s="572"/>
      <c r="AR31" s="572"/>
      <c r="AS31" s="572"/>
    </row>
    <row r="32" spans="18:45" ht="15.6" x14ac:dyDescent="0.3">
      <c r="R32" s="581"/>
      <c r="S32" s="585" t="str">
        <f>IF(Y53&gt;=0,"Gap (Cost − Benefits):","Surplus (Benefits − Cost):")</f>
        <v>Gap (Cost − Benefits):</v>
      </c>
      <c r="T32" s="586"/>
      <c r="U32" s="581"/>
      <c r="V32" s="586"/>
      <c r="W32" s="985" t="s">
        <v>482</v>
      </c>
      <c r="X32" s="579" t="str">
        <f>'Gap Calculator'!I44</f>
        <v>Capacity - PJM Market</v>
      </c>
      <c r="Y32" s="587" t="s">
        <v>671</v>
      </c>
      <c r="Z32" s="588">
        <f>'Gap Calculator'!K44</f>
        <v>0</v>
      </c>
      <c r="AA32" s="578">
        <f t="shared" si="0"/>
        <v>0</v>
      </c>
      <c r="AB32" s="572"/>
      <c r="AC32" s="572"/>
      <c r="AD32" s="572"/>
      <c r="AE32" s="572"/>
      <c r="AF32" s="572"/>
      <c r="AG32" s="572"/>
      <c r="AH32" s="572"/>
      <c r="AI32" s="572"/>
      <c r="AJ32" s="572"/>
      <c r="AK32" s="572"/>
      <c r="AL32" s="572"/>
      <c r="AM32" s="572"/>
      <c r="AN32" s="572"/>
      <c r="AO32" s="572"/>
      <c r="AP32" s="572"/>
      <c r="AQ32" s="572"/>
      <c r="AR32" s="572"/>
      <c r="AS32" s="572"/>
    </row>
    <row r="33" spans="10:45" ht="23.4" x14ac:dyDescent="0.45">
      <c r="J33" s="558"/>
      <c r="K33" s="559"/>
      <c r="R33" s="581"/>
      <c r="S33" s="586"/>
      <c r="T33" s="586"/>
      <c r="U33" s="586"/>
      <c r="V33" s="586"/>
      <c r="W33" s="986"/>
      <c r="X33" s="580" t="str">
        <f>'Gap Calculator'!I45</f>
        <v>Energy Arbitrage - PJM Market</v>
      </c>
      <c r="Y33" s="589" t="s">
        <v>671</v>
      </c>
      <c r="Z33" s="577">
        <f>'Gap Calculator'!K45</f>
        <v>0</v>
      </c>
      <c r="AA33" s="578">
        <f t="shared" si="0"/>
        <v>0</v>
      </c>
      <c r="AB33" s="572"/>
      <c r="AC33" s="572"/>
      <c r="AD33" s="572"/>
      <c r="AE33" s="572"/>
      <c r="AF33" s="572"/>
      <c r="AG33" s="572"/>
      <c r="AH33" s="572"/>
      <c r="AI33" s="572"/>
      <c r="AJ33" s="572"/>
      <c r="AK33" s="572"/>
      <c r="AL33" s="572"/>
      <c r="AM33" s="572"/>
      <c r="AN33" s="572"/>
      <c r="AO33" s="572"/>
      <c r="AP33" s="572"/>
      <c r="AQ33" s="572"/>
      <c r="AR33" s="572"/>
      <c r="AS33" s="572"/>
    </row>
    <row r="34" spans="10:45" ht="23.4" x14ac:dyDescent="0.45">
      <c r="J34" s="558"/>
      <c r="K34" s="590"/>
      <c r="L34" s="591"/>
      <c r="S34" s="592"/>
      <c r="T34" s="592"/>
      <c r="U34" s="592"/>
      <c r="V34" s="592"/>
      <c r="W34" s="986"/>
      <c r="X34" s="593" t="str">
        <f>'Gap Calculator'!I46</f>
        <v>Spin- PJM Market</v>
      </c>
      <c r="Y34" s="589" t="s">
        <v>671</v>
      </c>
      <c r="Z34" s="577">
        <f>'Gap Calculator'!K46</f>
        <v>0</v>
      </c>
      <c r="AA34" s="578">
        <f t="shared" si="0"/>
        <v>0</v>
      </c>
      <c r="AB34" s="572"/>
      <c r="AC34" s="572"/>
      <c r="AD34" s="572"/>
      <c r="AE34" s="572"/>
      <c r="AF34" s="572"/>
      <c r="AG34" s="572"/>
      <c r="AH34" s="572"/>
      <c r="AI34" s="572"/>
      <c r="AJ34" s="572"/>
      <c r="AK34" s="572"/>
      <c r="AL34" s="572"/>
      <c r="AM34" s="572"/>
      <c r="AN34" s="572"/>
      <c r="AO34" s="572"/>
      <c r="AP34" s="572"/>
      <c r="AQ34" s="572"/>
      <c r="AR34" s="572"/>
      <c r="AS34" s="572"/>
    </row>
    <row r="35" spans="10:45" ht="15.6" x14ac:dyDescent="0.3">
      <c r="W35" s="986"/>
      <c r="X35" s="593" t="str">
        <f>'Gap Calculator'!I47</f>
        <v>Non-Spin - PJM Market</v>
      </c>
      <c r="Y35" s="589" t="s">
        <v>671</v>
      </c>
      <c r="Z35" s="577">
        <f>'Gap Calculator'!K47</f>
        <v>0</v>
      </c>
      <c r="AA35" s="578">
        <f t="shared" si="0"/>
        <v>0</v>
      </c>
      <c r="AB35" s="572"/>
      <c r="AC35" s="572"/>
      <c r="AD35" s="572"/>
      <c r="AE35" s="572"/>
      <c r="AF35" s="572"/>
      <c r="AG35" s="572"/>
      <c r="AH35" s="572"/>
      <c r="AI35" s="572"/>
      <c r="AJ35" s="572"/>
      <c r="AK35" s="572"/>
      <c r="AL35" s="572"/>
      <c r="AM35" s="572"/>
      <c r="AN35" s="572"/>
      <c r="AO35" s="572"/>
      <c r="AP35" s="572"/>
      <c r="AQ35" s="572"/>
      <c r="AR35" s="572"/>
      <c r="AS35" s="572"/>
    </row>
    <row r="36" spans="10:45" ht="16.2" thickBot="1" x14ac:dyDescent="0.35">
      <c r="W36" s="987"/>
      <c r="X36" s="582" t="str">
        <f>'Gap Calculator'!I48</f>
        <v>Regulation - PJM Market</v>
      </c>
      <c r="Y36" s="594" t="s">
        <v>671</v>
      </c>
      <c r="Z36" s="595">
        <f>'Gap Calculator'!K48</f>
        <v>0</v>
      </c>
      <c r="AA36" s="584">
        <f t="shared" si="0"/>
        <v>0</v>
      </c>
      <c r="AB36" s="572"/>
      <c r="AC36" s="572"/>
      <c r="AD36" s="572"/>
      <c r="AE36" s="572"/>
      <c r="AF36" s="572"/>
      <c r="AG36" s="572"/>
      <c r="AH36" s="572"/>
      <c r="AI36" s="572"/>
      <c r="AJ36" s="572"/>
      <c r="AK36" s="572"/>
      <c r="AL36" s="572"/>
      <c r="AM36" s="572"/>
      <c r="AN36" s="572"/>
      <c r="AO36" s="572"/>
      <c r="AP36" s="572"/>
      <c r="AQ36" s="572"/>
      <c r="AR36" s="572"/>
      <c r="AS36" s="572"/>
    </row>
    <row r="37" spans="10:45" ht="15.6" x14ac:dyDescent="0.3">
      <c r="W37" s="988" t="s">
        <v>483</v>
      </c>
      <c r="X37" s="596" t="str">
        <f>'Gap Calculator'!I49</f>
        <v>Incurred Energy Charges</v>
      </c>
      <c r="Y37" s="589" t="s">
        <v>671</v>
      </c>
      <c r="Z37" s="577">
        <f>'Gap Calculator'!K49</f>
        <v>0</v>
      </c>
      <c r="AA37" s="578">
        <f t="shared" si="0"/>
        <v>0</v>
      </c>
      <c r="AB37" s="572"/>
      <c r="AC37" s="572"/>
      <c r="AD37" s="572"/>
      <c r="AE37" s="572"/>
      <c r="AF37" s="572"/>
      <c r="AG37" s="572"/>
      <c r="AH37" s="572"/>
      <c r="AI37" s="572"/>
      <c r="AJ37" s="572"/>
      <c r="AK37" s="572"/>
      <c r="AL37" s="572"/>
      <c r="AM37" s="572"/>
      <c r="AN37" s="572"/>
      <c r="AO37" s="572"/>
      <c r="AP37" s="572"/>
      <c r="AQ37" s="572"/>
      <c r="AR37" s="572"/>
      <c r="AS37" s="572"/>
    </row>
    <row r="38" spans="10:45" ht="15.6" x14ac:dyDescent="0.3">
      <c r="W38" s="986"/>
      <c r="X38" s="579" t="str">
        <f>'Gap Calculator'!I50</f>
        <v>As Used Demand Charges</v>
      </c>
      <c r="Y38" s="589" t="s">
        <v>671</v>
      </c>
      <c r="Z38" s="577">
        <f>'Gap Calculator'!K50</f>
        <v>0</v>
      </c>
      <c r="AA38" s="578">
        <f t="shared" si="0"/>
        <v>0</v>
      </c>
      <c r="AB38" s="572"/>
      <c r="AC38" s="572"/>
      <c r="AD38" s="572"/>
      <c r="AE38" s="572"/>
      <c r="AF38" s="572"/>
      <c r="AG38" s="572"/>
      <c r="AH38" s="572"/>
      <c r="AI38" s="572"/>
      <c r="AJ38" s="572"/>
      <c r="AK38" s="572"/>
      <c r="AL38" s="572"/>
      <c r="AM38" s="572"/>
      <c r="AN38" s="572"/>
      <c r="AO38" s="572"/>
      <c r="AP38" s="572"/>
      <c r="AQ38" s="572"/>
      <c r="AR38" s="572"/>
      <c r="AS38" s="572"/>
    </row>
    <row r="39" spans="10:45" ht="15.6" x14ac:dyDescent="0.3">
      <c r="W39" s="986"/>
      <c r="X39" s="579" t="str">
        <f>'Gap Calculator'!I51</f>
        <v>Contract Demand Charges  Fixed</v>
      </c>
      <c r="Y39" s="589" t="s">
        <v>671</v>
      </c>
      <c r="Z39" s="577">
        <f>'Gap Calculator'!K51</f>
        <v>0</v>
      </c>
      <c r="AA39" s="578">
        <f t="shared" si="0"/>
        <v>0</v>
      </c>
      <c r="AB39" s="572"/>
      <c r="AC39" s="572"/>
      <c r="AD39" s="572"/>
      <c r="AE39" s="572"/>
      <c r="AF39" s="572"/>
      <c r="AG39" s="572"/>
      <c r="AH39" s="572"/>
      <c r="AI39" s="572"/>
      <c r="AJ39" s="572"/>
      <c r="AK39" s="572"/>
      <c r="AL39" s="572"/>
      <c r="AM39" s="572"/>
      <c r="AN39" s="572"/>
      <c r="AO39" s="572"/>
      <c r="AP39" s="572"/>
      <c r="AQ39" s="572"/>
      <c r="AR39" s="572"/>
      <c r="AS39" s="572"/>
    </row>
    <row r="40" spans="10:45" ht="16.2" thickBot="1" x14ac:dyDescent="0.35">
      <c r="W40" s="989"/>
      <c r="X40" s="597" t="str">
        <f>'Gap Calculator'!I52</f>
        <v>Customer Charges/ Fixed Charges</v>
      </c>
      <c r="Y40" s="594" t="s">
        <v>671</v>
      </c>
      <c r="Z40" s="595">
        <f>'Gap Calculator'!K52</f>
        <v>0</v>
      </c>
      <c r="AA40" s="584">
        <f t="shared" si="0"/>
        <v>0</v>
      </c>
      <c r="AB40" s="572"/>
      <c r="AC40" s="572"/>
      <c r="AD40" s="572"/>
      <c r="AE40" s="572"/>
      <c r="AF40" s="572"/>
      <c r="AG40" s="572"/>
      <c r="AH40" s="572"/>
      <c r="AI40" s="572"/>
      <c r="AJ40" s="572"/>
      <c r="AK40" s="572"/>
      <c r="AL40" s="572"/>
      <c r="AM40" s="572"/>
      <c r="AN40" s="572"/>
      <c r="AO40" s="572"/>
      <c r="AP40" s="572"/>
      <c r="AQ40" s="572"/>
      <c r="AR40" s="572"/>
      <c r="AS40" s="572"/>
    </row>
    <row r="41" spans="10:45" ht="15.6" x14ac:dyDescent="0.3">
      <c r="W41" s="980" t="s">
        <v>484</v>
      </c>
      <c r="X41" s="596" t="str">
        <f>'Gap Calculator'!I53</f>
        <v>Energy Savings</v>
      </c>
      <c r="Y41" s="589" t="s">
        <v>671</v>
      </c>
      <c r="Z41" s="577">
        <f>'Gap Calculator'!K53</f>
        <v>2369.1988680097766</v>
      </c>
      <c r="AA41" s="578">
        <f t="shared" si="0"/>
        <v>2369.1988680097766</v>
      </c>
      <c r="AB41" s="572"/>
      <c r="AC41" s="572"/>
      <c r="AD41" s="572"/>
      <c r="AE41" s="572"/>
      <c r="AF41" s="572"/>
      <c r="AG41" s="572"/>
      <c r="AH41" s="572"/>
      <c r="AI41" s="572"/>
      <c r="AJ41" s="572"/>
      <c r="AK41" s="572"/>
      <c r="AL41" s="572"/>
      <c r="AM41" s="572"/>
      <c r="AN41" s="572"/>
      <c r="AO41" s="572"/>
      <c r="AP41" s="572"/>
      <c r="AQ41" s="572"/>
      <c r="AR41" s="572"/>
      <c r="AS41" s="572"/>
    </row>
    <row r="42" spans="10:45" ht="16.2" thickBot="1" x14ac:dyDescent="0.35">
      <c r="W42" s="981"/>
      <c r="X42" s="597" t="str">
        <f>'Gap Calculator'!I54</f>
        <v xml:space="preserve">Demand Savings </v>
      </c>
      <c r="Y42" s="594" t="s">
        <v>671</v>
      </c>
      <c r="Z42" s="595">
        <f>'Gap Calculator'!K54</f>
        <v>0</v>
      </c>
      <c r="AA42" s="584">
        <f>Z42</f>
        <v>0</v>
      </c>
      <c r="AB42" s="572"/>
      <c r="AC42" s="572"/>
      <c r="AD42" s="572"/>
      <c r="AE42" s="572"/>
      <c r="AF42" s="572"/>
      <c r="AG42" s="572"/>
      <c r="AH42" s="572"/>
      <c r="AI42" s="572"/>
      <c r="AJ42" s="572"/>
      <c r="AK42" s="572"/>
      <c r="AL42" s="572"/>
      <c r="AM42" s="572"/>
      <c r="AN42" s="572"/>
      <c r="AO42" s="572"/>
      <c r="AP42" s="572"/>
      <c r="AQ42" s="572"/>
      <c r="AR42" s="572"/>
      <c r="AS42" s="572"/>
    </row>
    <row r="43" spans="10:45" ht="15.6" x14ac:dyDescent="0.3">
      <c r="W43" s="982" t="s">
        <v>463</v>
      </c>
      <c r="X43" s="593" t="str">
        <f>'Gap Calculator'!I55</f>
        <v>Energy Generation - Export</v>
      </c>
      <c r="Y43" s="589" t="s">
        <v>671</v>
      </c>
      <c r="Z43" s="577">
        <f>'Gap Calculator'!K55</f>
        <v>0</v>
      </c>
      <c r="AA43" s="578">
        <v>0</v>
      </c>
      <c r="AB43" s="572"/>
      <c r="AC43" s="572"/>
      <c r="AD43" s="572"/>
      <c r="AE43" s="572"/>
      <c r="AF43" s="572"/>
      <c r="AG43" s="572"/>
      <c r="AH43" s="572"/>
      <c r="AI43" s="572"/>
      <c r="AJ43" s="572"/>
      <c r="AK43" s="572"/>
      <c r="AL43" s="572"/>
      <c r="AM43" s="572"/>
      <c r="AN43" s="572"/>
      <c r="AO43" s="572"/>
      <c r="AP43" s="572"/>
      <c r="AQ43" s="572"/>
      <c r="AR43" s="572"/>
      <c r="AS43" s="572"/>
    </row>
    <row r="44" spans="10:45" ht="15.6" x14ac:dyDescent="0.3">
      <c r="W44" s="983"/>
      <c r="X44" s="596" t="str">
        <f>'Gap Calculator'!I56</f>
        <v>Generation Capacity</v>
      </c>
      <c r="Y44" s="589" t="s">
        <v>671</v>
      </c>
      <c r="Z44" s="577">
        <f>'Gap Calculator'!K56</f>
        <v>2047.1420730986199</v>
      </c>
      <c r="AA44" s="578">
        <v>0</v>
      </c>
      <c r="AB44" s="572"/>
      <c r="AC44" s="572"/>
      <c r="AD44" s="572"/>
      <c r="AE44" s="572"/>
      <c r="AF44" s="572"/>
      <c r="AG44" s="572"/>
      <c r="AH44" s="572"/>
      <c r="AI44" s="572"/>
      <c r="AJ44" s="572"/>
      <c r="AK44" s="572"/>
      <c r="AL44" s="572"/>
      <c r="AM44" s="572"/>
      <c r="AN44" s="572"/>
      <c r="AO44" s="572"/>
      <c r="AP44" s="572"/>
      <c r="AQ44" s="572"/>
      <c r="AR44" s="572"/>
      <c r="AS44" s="572"/>
    </row>
    <row r="45" spans="10:45" ht="15.6" x14ac:dyDescent="0.3">
      <c r="W45" s="983"/>
      <c r="X45" s="579" t="str">
        <f>'Gap Calculator'!I57</f>
        <v>Transmission Capacity</v>
      </c>
      <c r="Y45" s="589" t="s">
        <v>671</v>
      </c>
      <c r="Z45" s="577">
        <f>'Gap Calculator'!K57</f>
        <v>678.10729452072349</v>
      </c>
      <c r="AA45" s="578">
        <v>0</v>
      </c>
      <c r="AB45" s="572"/>
      <c r="AC45" s="572"/>
      <c r="AD45" s="572"/>
      <c r="AE45" s="572"/>
      <c r="AF45" s="572"/>
      <c r="AG45" s="572"/>
      <c r="AH45" s="572"/>
      <c r="AI45" s="572"/>
      <c r="AJ45" s="572"/>
      <c r="AK45" s="572"/>
      <c r="AL45" s="572"/>
      <c r="AM45" s="572"/>
      <c r="AN45" s="572"/>
      <c r="AO45" s="572"/>
      <c r="AP45" s="572"/>
      <c r="AQ45" s="572"/>
      <c r="AR45" s="572"/>
      <c r="AS45" s="572"/>
    </row>
    <row r="46" spans="10:45" ht="15.6" x14ac:dyDescent="0.3">
      <c r="W46" s="983"/>
      <c r="X46" s="579" t="str">
        <f>'Gap Calculator'!I58</f>
        <v>Distribution Capacity</v>
      </c>
      <c r="Y46" s="589" t="s">
        <v>671</v>
      </c>
      <c r="Z46" s="577">
        <f>'Gap Calculator'!K58</f>
        <v>165.53483604594669</v>
      </c>
      <c r="AA46" s="578">
        <v>0</v>
      </c>
      <c r="AB46" s="572"/>
      <c r="AC46" s="572"/>
      <c r="AD46" s="572"/>
      <c r="AE46" s="572"/>
      <c r="AF46" s="572"/>
      <c r="AG46" s="572"/>
      <c r="AH46" s="572"/>
      <c r="AI46" s="572"/>
      <c r="AJ46" s="572"/>
      <c r="AK46" s="572"/>
      <c r="AL46" s="572"/>
      <c r="AM46" s="572"/>
      <c r="AN46" s="572"/>
      <c r="AO46" s="572"/>
      <c r="AP46" s="572"/>
      <c r="AQ46" s="572"/>
      <c r="AR46" s="572"/>
      <c r="AS46" s="572"/>
    </row>
    <row r="47" spans="10:45" ht="15.6" x14ac:dyDescent="0.3">
      <c r="W47" s="983"/>
      <c r="X47" s="580" t="str">
        <f>'Gap Calculator'!I59</f>
        <v>GHG Impacts</v>
      </c>
      <c r="Y47" s="589" t="s">
        <v>671</v>
      </c>
      <c r="Z47" s="577">
        <f>'Gap Calculator'!K59</f>
        <v>1163.2637759587728</v>
      </c>
      <c r="AA47" s="578">
        <v>0</v>
      </c>
      <c r="AB47" s="572"/>
      <c r="AC47" s="572"/>
      <c r="AD47" s="572"/>
      <c r="AE47" s="572"/>
      <c r="AF47" s="572"/>
      <c r="AG47" s="572"/>
      <c r="AH47" s="572"/>
      <c r="AI47" s="572"/>
      <c r="AJ47" s="572"/>
      <c r="AK47" s="572"/>
      <c r="AL47" s="572"/>
      <c r="AM47" s="572"/>
      <c r="AN47" s="572"/>
      <c r="AO47" s="572"/>
      <c r="AP47" s="572"/>
      <c r="AQ47" s="572"/>
      <c r="AR47" s="572"/>
      <c r="AS47" s="572"/>
    </row>
    <row r="48" spans="10:45" ht="15.6" x14ac:dyDescent="0.3">
      <c r="W48" s="983"/>
      <c r="X48" s="593" t="str">
        <f>'Gap Calculator'!I60</f>
        <v>Market Price Effects - Wholesale Energy</v>
      </c>
      <c r="Y48" s="589" t="s">
        <v>671</v>
      </c>
      <c r="Z48" s="577">
        <f>'Gap Calculator'!K60</f>
        <v>327.92537825353111</v>
      </c>
      <c r="AA48" s="578">
        <v>0</v>
      </c>
      <c r="AB48" s="572"/>
      <c r="AC48" s="572"/>
      <c r="AD48" s="572"/>
      <c r="AE48" s="572"/>
      <c r="AF48" s="572"/>
      <c r="AG48" s="572"/>
      <c r="AH48" s="572"/>
      <c r="AI48" s="572"/>
      <c r="AJ48" s="572"/>
      <c r="AK48" s="572"/>
      <c r="AL48" s="572"/>
      <c r="AM48" s="572"/>
      <c r="AN48" s="572"/>
      <c r="AO48" s="572"/>
      <c r="AP48" s="572"/>
      <c r="AQ48" s="572"/>
      <c r="AR48" s="572"/>
      <c r="AS48" s="572"/>
    </row>
    <row r="49" spans="23:45" ht="16.2" thickBot="1" x14ac:dyDescent="0.35">
      <c r="W49" s="984"/>
      <c r="X49" s="593" t="str">
        <f>'Gap Calculator'!I61</f>
        <v>Market Price Effects - Wholesale Capacity</v>
      </c>
      <c r="Y49" s="589" t="s">
        <v>671</v>
      </c>
      <c r="Z49" s="577">
        <f>'Gap Calculator'!K61</f>
        <v>0</v>
      </c>
      <c r="AA49" s="578">
        <v>0</v>
      </c>
      <c r="AB49" s="572"/>
      <c r="AC49" s="572"/>
      <c r="AD49" s="572"/>
      <c r="AE49" s="572"/>
      <c r="AF49" s="572"/>
      <c r="AG49" s="572"/>
      <c r="AH49" s="572"/>
      <c r="AI49" s="572"/>
      <c r="AJ49" s="572"/>
      <c r="AK49" s="572"/>
      <c r="AL49" s="572"/>
      <c r="AM49" s="572"/>
      <c r="AN49" s="572"/>
      <c r="AO49" s="572"/>
      <c r="AP49" s="572"/>
      <c r="AQ49" s="572"/>
      <c r="AR49" s="572"/>
      <c r="AS49" s="572"/>
    </row>
    <row r="50" spans="23:45" ht="16.2" thickBot="1" x14ac:dyDescent="0.35">
      <c r="W50" s="567" t="s">
        <v>498</v>
      </c>
      <c r="X50" s="598" t="str">
        <f>'Gap Calculator'!I62</f>
        <v>Avoided Cost of Participant Backup Generator</v>
      </c>
      <c r="Y50" s="587" t="s">
        <v>671</v>
      </c>
      <c r="Z50" s="599">
        <f>'Gap Calculator'!K62</f>
        <v>1580.2469135802469</v>
      </c>
      <c r="AA50" s="600">
        <f>Z50</f>
        <v>1580.2469135802469</v>
      </c>
      <c r="AB50" s="572"/>
      <c r="AC50" s="572"/>
      <c r="AD50" s="572"/>
      <c r="AE50" s="572"/>
      <c r="AF50" s="572"/>
      <c r="AG50" s="572"/>
      <c r="AH50" s="572"/>
      <c r="AI50" s="572"/>
      <c r="AJ50" s="572"/>
      <c r="AK50" s="572"/>
      <c r="AL50" s="572"/>
      <c r="AM50" s="572"/>
      <c r="AN50" s="572"/>
      <c r="AO50" s="572"/>
      <c r="AP50" s="572"/>
      <c r="AQ50" s="572"/>
      <c r="AR50" s="572"/>
      <c r="AS50" s="572"/>
    </row>
    <row r="51" spans="23:45" ht="16.2" thickBot="1" x14ac:dyDescent="0.35">
      <c r="W51" s="567" t="s">
        <v>670</v>
      </c>
      <c r="X51" s="601" t="s">
        <v>104</v>
      </c>
      <c r="Y51" s="587" t="s">
        <v>671</v>
      </c>
      <c r="Z51" s="577">
        <f>'Gap Calculator'!K65</f>
        <v>3328.2370370370372</v>
      </c>
      <c r="AA51" s="602">
        <f>Z51</f>
        <v>3328.2370370370372</v>
      </c>
      <c r="AB51" s="572"/>
      <c r="AC51" s="572"/>
      <c r="AD51" s="572"/>
      <c r="AE51" s="572"/>
      <c r="AF51" s="572"/>
      <c r="AG51" s="572"/>
      <c r="AH51" s="572"/>
      <c r="AI51" s="572"/>
      <c r="AJ51" s="572"/>
      <c r="AK51" s="572"/>
      <c r="AL51" s="572"/>
      <c r="AM51" s="572"/>
      <c r="AN51" s="572"/>
      <c r="AO51" s="572"/>
      <c r="AP51" s="572"/>
      <c r="AQ51" s="572"/>
      <c r="AR51" s="572"/>
      <c r="AS51" s="572"/>
    </row>
    <row r="52" spans="23:45" ht="15.6" x14ac:dyDescent="0.3">
      <c r="W52" s="603"/>
      <c r="X52" s="601" t="s">
        <v>602</v>
      </c>
      <c r="Y52" s="604">
        <f>SUM(Y27:Y31)</f>
        <v>15564.234324076235</v>
      </c>
      <c r="Z52" s="604">
        <f>SUM(Z32:Z51)</f>
        <v>11659.656176504655</v>
      </c>
      <c r="AA52" s="605">
        <f>SUM(AA32:AA51)</f>
        <v>7277.6828186270604</v>
      </c>
      <c r="AB52" s="572"/>
      <c r="AC52" s="572"/>
      <c r="AD52" s="572"/>
      <c r="AE52" s="572"/>
      <c r="AF52" s="572"/>
      <c r="AG52" s="572"/>
      <c r="AH52" s="572"/>
      <c r="AI52" s="572"/>
      <c r="AJ52" s="572"/>
      <c r="AK52" s="572"/>
      <c r="AL52" s="572"/>
      <c r="AM52" s="572"/>
      <c r="AN52" s="572"/>
      <c r="AO52" s="572"/>
      <c r="AP52" s="572"/>
      <c r="AQ52" s="572"/>
      <c r="AR52" s="572"/>
      <c r="AS52" s="572"/>
    </row>
    <row r="53" spans="23:45" ht="15.6" x14ac:dyDescent="0.3">
      <c r="W53" s="606"/>
      <c r="X53" s="601" t="s">
        <v>487</v>
      </c>
      <c r="Y53" s="425">
        <f>SUM(Y27:Y31)-SUM(Z27:Z51)</f>
        <v>3904.5781475715794</v>
      </c>
      <c r="Z53" s="607"/>
      <c r="AA53" s="608"/>
      <c r="AB53" s="572"/>
      <c r="AC53" s="572"/>
      <c r="AD53" s="572"/>
      <c r="AE53" s="572"/>
      <c r="AF53" s="572"/>
      <c r="AG53" s="572"/>
      <c r="AH53" s="572"/>
      <c r="AI53" s="572"/>
      <c r="AJ53" s="572"/>
      <c r="AK53" s="572"/>
      <c r="AL53" s="572"/>
      <c r="AM53" s="572"/>
      <c r="AN53" s="572"/>
      <c r="AO53" s="572"/>
      <c r="AP53" s="572"/>
      <c r="AQ53" s="572"/>
      <c r="AR53" s="572"/>
      <c r="AS53" s="572"/>
    </row>
    <row r="54" spans="23:45" ht="16.2" thickBot="1" x14ac:dyDescent="0.35">
      <c r="W54" s="606"/>
      <c r="X54" s="609"/>
      <c r="Y54" s="610"/>
      <c r="Z54" s="611">
        <f>Z47/Z52</f>
        <v>9.9768274325521086E-2</v>
      </c>
      <c r="AA54" s="612"/>
      <c r="AB54" s="572"/>
      <c r="AC54" s="572"/>
      <c r="AD54" s="572"/>
      <c r="AE54" s="572"/>
      <c r="AF54" s="572"/>
      <c r="AG54" s="572"/>
      <c r="AH54" s="572"/>
      <c r="AI54" s="572"/>
      <c r="AJ54" s="572"/>
      <c r="AK54" s="572"/>
      <c r="AL54" s="572"/>
      <c r="AM54" s="572"/>
      <c r="AN54" s="572"/>
      <c r="AO54" s="572"/>
      <c r="AP54" s="572"/>
      <c r="AQ54" s="572"/>
      <c r="AR54" s="572"/>
      <c r="AS54" s="572"/>
    </row>
    <row r="55" spans="23:45" x14ac:dyDescent="0.3">
      <c r="X55" s="572"/>
      <c r="Y55" s="572"/>
      <c r="Z55" s="572"/>
      <c r="AA55" s="572"/>
      <c r="AB55" s="572"/>
      <c r="AC55" s="572"/>
      <c r="AD55" s="572"/>
      <c r="AE55" s="572"/>
      <c r="AF55" s="572"/>
      <c r="AG55" s="572"/>
      <c r="AH55" s="572"/>
      <c r="AI55" s="572"/>
      <c r="AJ55" s="572"/>
      <c r="AK55" s="572"/>
      <c r="AL55" s="572"/>
      <c r="AM55" s="572"/>
      <c r="AN55" s="572"/>
      <c r="AO55" s="572"/>
      <c r="AP55" s="572"/>
      <c r="AQ55" s="572"/>
      <c r="AR55" s="572"/>
      <c r="AS55" s="572"/>
    </row>
    <row r="56" spans="23:45" x14ac:dyDescent="0.3">
      <c r="X56" s="572"/>
      <c r="Y56" s="613" t="s">
        <v>485</v>
      </c>
      <c r="Z56" s="581"/>
      <c r="AA56" s="581"/>
      <c r="AB56" s="572"/>
      <c r="AC56" s="572"/>
      <c r="AD56" s="572"/>
      <c r="AE56" s="572"/>
      <c r="AF56" s="572"/>
      <c r="AG56" s="572"/>
      <c r="AH56" s="572"/>
      <c r="AI56" s="572"/>
      <c r="AJ56" s="572"/>
      <c r="AK56" s="572"/>
      <c r="AL56" s="572"/>
      <c r="AM56" s="572"/>
      <c r="AN56" s="572"/>
      <c r="AO56" s="572"/>
      <c r="AP56" s="572"/>
      <c r="AQ56" s="572"/>
      <c r="AR56" s="572"/>
      <c r="AS56" s="572"/>
    </row>
    <row r="57" spans="23:45" x14ac:dyDescent="0.3">
      <c r="X57" s="572"/>
      <c r="Y57" s="581"/>
      <c r="Z57" s="614">
        <f>Z52</f>
        <v>11659.656176504655</v>
      </c>
      <c r="AA57" s="614">
        <f>AA52</f>
        <v>7277.6828186270604</v>
      </c>
      <c r="AB57" s="572"/>
      <c r="AC57" s="572"/>
      <c r="AD57" s="572"/>
      <c r="AE57" s="572"/>
      <c r="AF57" s="572"/>
      <c r="AG57" s="572"/>
      <c r="AH57" s="572"/>
      <c r="AI57" s="572"/>
      <c r="AJ57" s="572"/>
      <c r="AK57" s="572"/>
      <c r="AL57" s="572"/>
      <c r="AM57" s="572"/>
      <c r="AN57" s="572"/>
      <c r="AO57" s="572"/>
      <c r="AP57" s="572"/>
      <c r="AQ57" s="572"/>
      <c r="AR57" s="572"/>
      <c r="AS57" s="572"/>
    </row>
    <row r="58" spans="23:45" x14ac:dyDescent="0.3">
      <c r="X58" s="572"/>
      <c r="Y58" s="614">
        <f>Y52</f>
        <v>15564.234324076235</v>
      </c>
      <c r="Z58" s="581"/>
      <c r="AA58" s="581"/>
      <c r="AB58" s="572"/>
      <c r="AC58" s="572"/>
      <c r="AD58" s="572"/>
      <c r="AE58" s="572"/>
      <c r="AF58" s="572"/>
      <c r="AG58" s="572"/>
      <c r="AH58" s="572"/>
      <c r="AI58" s="572"/>
      <c r="AJ58" s="572"/>
      <c r="AK58" s="572"/>
      <c r="AL58" s="572"/>
      <c r="AM58" s="572"/>
      <c r="AN58" s="572"/>
      <c r="AO58" s="572"/>
      <c r="AP58" s="572"/>
      <c r="AQ58" s="572"/>
      <c r="AR58" s="572"/>
      <c r="AS58" s="572"/>
    </row>
    <row r="59" spans="23:45" x14ac:dyDescent="0.3">
      <c r="X59" s="572"/>
      <c r="Y59" s="572"/>
      <c r="Z59" s="572"/>
      <c r="AA59" s="572"/>
      <c r="AB59" s="572"/>
      <c r="AC59" s="572"/>
      <c r="AD59" s="572"/>
      <c r="AE59" s="572"/>
      <c r="AF59" s="572"/>
      <c r="AG59" s="572"/>
      <c r="AH59" s="572"/>
      <c r="AI59" s="572"/>
      <c r="AJ59" s="572"/>
      <c r="AK59" s="572"/>
      <c r="AL59" s="572"/>
      <c r="AM59" s="572"/>
      <c r="AN59" s="572"/>
      <c r="AO59" s="572"/>
      <c r="AP59" s="572"/>
      <c r="AQ59" s="572"/>
      <c r="AR59" s="572"/>
      <c r="AS59" s="572"/>
    </row>
    <row r="60" spans="23:45" x14ac:dyDescent="0.3">
      <c r="X60" s="572"/>
      <c r="Y60" s="615"/>
      <c r="Z60" s="572"/>
      <c r="AA60" s="572"/>
      <c r="AB60" s="572"/>
      <c r="AC60" s="572"/>
      <c r="AD60" s="572"/>
      <c r="AE60" s="572"/>
      <c r="AF60" s="572"/>
      <c r="AG60" s="572"/>
      <c r="AH60" s="572"/>
      <c r="AI60" s="572"/>
      <c r="AJ60" s="572"/>
      <c r="AK60" s="572"/>
      <c r="AL60" s="572"/>
      <c r="AM60" s="572"/>
      <c r="AN60" s="572"/>
      <c r="AO60" s="572"/>
      <c r="AP60" s="572"/>
      <c r="AQ60" s="572"/>
      <c r="AR60" s="572"/>
      <c r="AS60" s="572"/>
    </row>
    <row r="61" spans="23:45" x14ac:dyDescent="0.3">
      <c r="X61" s="572"/>
      <c r="Y61" s="615"/>
      <c r="Z61" s="572"/>
      <c r="AA61" s="572"/>
      <c r="AB61" s="572"/>
      <c r="AC61" s="572"/>
      <c r="AD61" s="572"/>
      <c r="AE61" s="572"/>
      <c r="AF61" s="572"/>
      <c r="AG61" s="572"/>
      <c r="AH61" s="572"/>
      <c r="AI61" s="572"/>
      <c r="AJ61" s="572"/>
      <c r="AK61" s="572"/>
      <c r="AL61" s="572"/>
      <c r="AM61" s="572"/>
      <c r="AN61" s="572"/>
      <c r="AO61" s="572"/>
      <c r="AP61" s="572"/>
      <c r="AQ61" s="572"/>
      <c r="AR61" s="572"/>
      <c r="AS61" s="572"/>
    </row>
    <row r="62" spans="23:45" x14ac:dyDescent="0.3">
      <c r="X62" s="572"/>
      <c r="Y62" s="572"/>
      <c r="Z62" s="572"/>
      <c r="AA62" s="572"/>
      <c r="AB62" s="572"/>
      <c r="AC62" s="572"/>
      <c r="AD62" s="572"/>
      <c r="AE62" s="572"/>
      <c r="AF62" s="572"/>
      <c r="AG62" s="572"/>
      <c r="AH62" s="572"/>
      <c r="AI62" s="572"/>
      <c r="AJ62" s="572"/>
      <c r="AK62" s="572"/>
      <c r="AL62" s="572"/>
      <c r="AM62" s="572"/>
      <c r="AN62" s="572"/>
      <c r="AO62" s="572"/>
      <c r="AP62" s="572"/>
      <c r="AQ62" s="572"/>
      <c r="AR62" s="572"/>
      <c r="AS62" s="572"/>
    </row>
    <row r="63" spans="23:45" x14ac:dyDescent="0.3">
      <c r="X63" s="572"/>
      <c r="Y63" s="572"/>
      <c r="Z63" s="572"/>
      <c r="AA63" s="572"/>
      <c r="AB63" s="572"/>
      <c r="AC63" s="572"/>
      <c r="AD63" s="572"/>
      <c r="AE63" s="572"/>
      <c r="AF63" s="572"/>
      <c r="AG63" s="572"/>
      <c r="AH63" s="572"/>
      <c r="AI63" s="572"/>
      <c r="AJ63" s="572"/>
      <c r="AK63" s="572"/>
      <c r="AL63" s="572"/>
      <c r="AM63" s="572"/>
      <c r="AN63" s="572"/>
      <c r="AO63" s="572"/>
      <c r="AP63" s="572"/>
      <c r="AQ63" s="572"/>
      <c r="AR63" s="572"/>
      <c r="AS63" s="572"/>
    </row>
    <row r="64" spans="23:45" x14ac:dyDescent="0.3">
      <c r="X64" s="572"/>
      <c r="Y64" s="572"/>
      <c r="Z64" s="572"/>
      <c r="AA64" s="572"/>
      <c r="AB64" s="572"/>
      <c r="AC64" s="572"/>
      <c r="AD64" s="572"/>
      <c r="AE64" s="572"/>
      <c r="AF64" s="572"/>
      <c r="AG64" s="572"/>
      <c r="AH64" s="572"/>
      <c r="AI64" s="572"/>
      <c r="AJ64" s="572"/>
      <c r="AK64" s="572"/>
      <c r="AL64" s="572"/>
      <c r="AM64" s="572"/>
      <c r="AN64" s="572"/>
      <c r="AO64" s="572"/>
      <c r="AP64" s="572"/>
      <c r="AQ64" s="572"/>
      <c r="AR64" s="572"/>
      <c r="AS64" s="572"/>
    </row>
    <row r="65" spans="10:50" x14ac:dyDescent="0.3">
      <c r="X65" s="572"/>
      <c r="Y65" s="572"/>
      <c r="Z65" s="572"/>
      <c r="AA65" s="572"/>
      <c r="AB65" s="572"/>
      <c r="AC65" s="572"/>
      <c r="AD65" s="572"/>
      <c r="AE65" s="572"/>
      <c r="AF65" s="572"/>
      <c r="AG65" s="572"/>
      <c r="AH65" s="572"/>
      <c r="AI65" s="572"/>
      <c r="AJ65" s="572"/>
      <c r="AK65" s="572"/>
      <c r="AL65" s="572"/>
      <c r="AM65" s="572"/>
      <c r="AN65" s="572"/>
      <c r="AO65" s="572"/>
      <c r="AP65" s="572"/>
      <c r="AQ65" s="572"/>
      <c r="AR65" s="572"/>
      <c r="AS65" s="572"/>
    </row>
    <row r="66" spans="10:50" x14ac:dyDescent="0.3">
      <c r="X66" s="572"/>
      <c r="Y66" s="572"/>
      <c r="Z66" s="572"/>
      <c r="AA66" s="572"/>
      <c r="AB66" s="572"/>
      <c r="AC66" s="572"/>
      <c r="AD66" s="572"/>
      <c r="AE66" s="572"/>
      <c r="AF66" s="572"/>
      <c r="AG66" s="572"/>
      <c r="AH66" s="572"/>
      <c r="AI66" s="572"/>
      <c r="AJ66" s="572"/>
      <c r="AK66" s="572"/>
      <c r="AL66" s="572"/>
      <c r="AM66" s="572"/>
      <c r="AN66" s="572"/>
      <c r="AO66" s="572"/>
      <c r="AP66" s="572"/>
      <c r="AQ66" s="572"/>
      <c r="AR66" s="572"/>
      <c r="AS66" s="572"/>
    </row>
    <row r="67" spans="10:50" x14ac:dyDescent="0.3">
      <c r="X67" s="572"/>
      <c r="Y67" s="572"/>
      <c r="Z67" s="572"/>
      <c r="AA67" s="572"/>
      <c r="AB67" s="572"/>
      <c r="AC67" s="572"/>
      <c r="AD67" s="572"/>
      <c r="AE67" s="572"/>
      <c r="AF67" s="572"/>
      <c r="AG67" s="572"/>
      <c r="AH67" s="572"/>
      <c r="AI67" s="572"/>
      <c r="AJ67" s="572"/>
      <c r="AK67" s="572"/>
      <c r="AL67" s="572"/>
      <c r="AM67" s="572"/>
      <c r="AN67" s="572"/>
      <c r="AO67" s="572"/>
      <c r="AP67" s="572"/>
      <c r="AQ67" s="572"/>
      <c r="AR67" s="572"/>
      <c r="AS67" s="572"/>
    </row>
    <row r="68" spans="10:50" hidden="1" x14ac:dyDescent="0.3">
      <c r="X68" s="572"/>
      <c r="Y68" s="572"/>
      <c r="Z68" s="572"/>
      <c r="AA68" s="572"/>
      <c r="AB68" s="572"/>
      <c r="AC68" s="572"/>
      <c r="AD68" s="572"/>
      <c r="AE68" s="572"/>
      <c r="AF68" s="572"/>
      <c r="AG68" s="572"/>
      <c r="AH68" s="572"/>
      <c r="AI68" s="572"/>
      <c r="AJ68" s="572"/>
      <c r="AK68" s="572"/>
      <c r="AL68" s="572"/>
      <c r="AM68" s="572"/>
      <c r="AN68" s="572"/>
      <c r="AO68" s="572"/>
      <c r="AP68" s="572"/>
      <c r="AQ68" s="572"/>
      <c r="AR68" s="572"/>
      <c r="AS68" s="572"/>
    </row>
    <row r="69" spans="10:50" hidden="1" x14ac:dyDescent="0.3">
      <c r="X69" s="572"/>
      <c r="Y69" s="616"/>
      <c r="Z69" s="572"/>
      <c r="AA69" s="572"/>
      <c r="AB69" s="572"/>
      <c r="AC69" s="572"/>
      <c r="AD69" s="572"/>
      <c r="AE69" s="572"/>
      <c r="AF69" s="572"/>
      <c r="AG69" s="572"/>
      <c r="AH69" s="572"/>
      <c r="AI69" s="572"/>
      <c r="AJ69" s="572"/>
      <c r="AK69" s="572"/>
      <c r="AL69" s="572"/>
      <c r="AM69" s="572"/>
      <c r="AN69" s="572"/>
      <c r="AO69" s="572"/>
      <c r="AP69" s="572"/>
      <c r="AQ69" s="572"/>
      <c r="AR69" s="572"/>
      <c r="AS69" s="572"/>
    </row>
    <row r="70" spans="10:50" hidden="1" x14ac:dyDescent="0.3">
      <c r="X70" s="572"/>
      <c r="Y70" s="616"/>
      <c r="Z70" s="572"/>
      <c r="AA70" s="572"/>
      <c r="AB70" s="572"/>
      <c r="AC70" s="572"/>
      <c r="AD70" s="572"/>
      <c r="AE70" s="572"/>
      <c r="AF70" s="572"/>
      <c r="AG70" s="572"/>
      <c r="AH70" s="572"/>
      <c r="AI70" s="572"/>
      <c r="AJ70" s="572"/>
      <c r="AK70" s="572"/>
      <c r="AL70" s="572"/>
      <c r="AM70" s="572"/>
      <c r="AN70" s="572"/>
      <c r="AO70" s="572"/>
      <c r="AP70" s="572"/>
      <c r="AQ70" s="572"/>
      <c r="AR70" s="572"/>
      <c r="AS70" s="572"/>
    </row>
    <row r="71" spans="10:50" hidden="1" x14ac:dyDescent="0.3">
      <c r="X71"/>
      <c r="Y71"/>
      <c r="Z71"/>
      <c r="AA71"/>
      <c r="AB71"/>
      <c r="AC71"/>
      <c r="AD71"/>
      <c r="AE71"/>
      <c r="AF71"/>
      <c r="AG71"/>
      <c r="AH71"/>
      <c r="AI71"/>
      <c r="AJ71"/>
      <c r="AK71"/>
      <c r="AL71"/>
      <c r="AM71"/>
      <c r="AN71"/>
      <c r="AO71"/>
      <c r="AP71"/>
      <c r="AQ71"/>
      <c r="AR71"/>
      <c r="AS71"/>
      <c r="AT71"/>
      <c r="AU71"/>
    </row>
    <row r="72" spans="10:50" hidden="1" x14ac:dyDescent="0.3">
      <c r="X72"/>
      <c r="Y72"/>
      <c r="Z72"/>
      <c r="AA72"/>
      <c r="AB72"/>
      <c r="AC72"/>
      <c r="AD72"/>
      <c r="AE72"/>
      <c r="AF72"/>
      <c r="AG72"/>
      <c r="AH72"/>
      <c r="AI72"/>
      <c r="AJ72"/>
      <c r="AK72"/>
      <c r="AL72"/>
      <c r="AM72"/>
      <c r="AN72"/>
      <c r="AO72"/>
      <c r="AP72"/>
      <c r="AQ72"/>
      <c r="AR72"/>
      <c r="AS72"/>
      <c r="AT72"/>
      <c r="AU72"/>
    </row>
    <row r="73" spans="10:50" hidden="1" x14ac:dyDescent="0.3">
      <c r="X73"/>
      <c r="Y73"/>
      <c r="Z73"/>
      <c r="AA73"/>
      <c r="AB73"/>
      <c r="AC73"/>
      <c r="AD73"/>
      <c r="AE73"/>
      <c r="AF73"/>
      <c r="AG73"/>
      <c r="AH73"/>
      <c r="AI73"/>
      <c r="AJ73"/>
      <c r="AK73"/>
      <c r="AL73"/>
      <c r="AM73"/>
      <c r="AN73"/>
      <c r="AO73"/>
      <c r="AP73"/>
      <c r="AQ73"/>
      <c r="AR73"/>
      <c r="AS73"/>
      <c r="AT73"/>
      <c r="AU73"/>
    </row>
    <row r="74" spans="10:50" hidden="1" x14ac:dyDescent="0.3">
      <c r="X74"/>
      <c r="Y74"/>
      <c r="Z74"/>
      <c r="AA74"/>
      <c r="AB74"/>
      <c r="AC74"/>
      <c r="AD74"/>
      <c r="AE74"/>
      <c r="AF74"/>
      <c r="AG74"/>
      <c r="AH74"/>
      <c r="AI74"/>
      <c r="AJ74"/>
      <c r="AK74"/>
      <c r="AL74"/>
      <c r="AM74"/>
      <c r="AN74"/>
      <c r="AO74"/>
      <c r="AP74"/>
      <c r="AQ74"/>
      <c r="AR74"/>
      <c r="AS74"/>
      <c r="AT74"/>
      <c r="AU74"/>
      <c r="AV74"/>
      <c r="AW74"/>
      <c r="AX74"/>
    </row>
    <row r="75" spans="10:50" ht="23.4" hidden="1" x14ac:dyDescent="0.45">
      <c r="J75" s="558"/>
      <c r="K75" s="559"/>
      <c r="X75"/>
      <c r="Y75"/>
      <c r="Z75"/>
      <c r="AA75"/>
      <c r="AB75"/>
      <c r="AC75"/>
      <c r="AD75"/>
      <c r="AE75"/>
      <c r="AF75"/>
      <c r="AG75"/>
      <c r="AH75"/>
      <c r="AI75"/>
      <c r="AJ75"/>
      <c r="AK75"/>
      <c r="AL75"/>
      <c r="AM75"/>
      <c r="AN75"/>
      <c r="AO75"/>
      <c r="AP75"/>
      <c r="AQ75"/>
      <c r="AR75"/>
      <c r="AS75"/>
      <c r="AT75"/>
      <c r="AU75"/>
      <c r="AV75"/>
      <c r="AW75"/>
      <c r="AX75"/>
    </row>
    <row r="76" spans="10:50" hidden="1" x14ac:dyDescent="0.3">
      <c r="X76"/>
      <c r="Y76"/>
      <c r="Z76"/>
      <c r="AA76"/>
      <c r="AB76"/>
      <c r="AC76"/>
      <c r="AD76"/>
      <c r="AE76"/>
      <c r="AF76"/>
      <c r="AG76"/>
      <c r="AH76"/>
      <c r="AI76"/>
      <c r="AJ76"/>
      <c r="AK76"/>
      <c r="AL76"/>
      <c r="AM76"/>
      <c r="AN76"/>
      <c r="AO76"/>
      <c r="AP76"/>
      <c r="AQ76"/>
      <c r="AR76"/>
      <c r="AS76"/>
      <c r="AT76"/>
      <c r="AU76"/>
      <c r="AV76"/>
      <c r="AW76"/>
      <c r="AX76"/>
    </row>
    <row r="77" spans="10:50" hidden="1" x14ac:dyDescent="0.3">
      <c r="X77"/>
      <c r="Y77"/>
      <c r="Z77"/>
      <c r="AA77"/>
      <c r="AB77"/>
      <c r="AC77"/>
      <c r="AD77"/>
      <c r="AE77"/>
      <c r="AF77"/>
      <c r="AG77"/>
      <c r="AH77"/>
      <c r="AI77"/>
      <c r="AJ77"/>
      <c r="AK77"/>
      <c r="AL77"/>
      <c r="AM77"/>
      <c r="AN77"/>
      <c r="AO77"/>
      <c r="AP77"/>
      <c r="AQ77"/>
      <c r="AR77"/>
      <c r="AS77"/>
      <c r="AT77"/>
      <c r="AU77"/>
      <c r="AV77"/>
      <c r="AW77"/>
      <c r="AX77"/>
    </row>
    <row r="78" spans="10:50" hidden="1" x14ac:dyDescent="0.3">
      <c r="X78"/>
      <c r="Y78"/>
      <c r="Z78"/>
      <c r="AA78"/>
      <c r="AB78"/>
      <c r="AC78"/>
      <c r="AD78"/>
      <c r="AE78"/>
      <c r="AF78"/>
      <c r="AG78"/>
      <c r="AH78"/>
      <c r="AI78"/>
      <c r="AJ78"/>
      <c r="AK78"/>
      <c r="AL78"/>
      <c r="AM78"/>
      <c r="AN78"/>
      <c r="AO78"/>
      <c r="AP78"/>
      <c r="AQ78"/>
      <c r="AR78"/>
      <c r="AS78"/>
      <c r="AT78"/>
      <c r="AU78"/>
      <c r="AV78"/>
      <c r="AW78"/>
      <c r="AX78"/>
    </row>
    <row r="79" spans="10:50" ht="25.95" hidden="1" customHeight="1" x14ac:dyDescent="0.3">
      <c r="X79"/>
      <c r="Y79"/>
      <c r="Z79"/>
      <c r="AA79"/>
      <c r="AB79"/>
      <c r="AC79"/>
      <c r="AD79"/>
      <c r="AE79"/>
      <c r="AF79"/>
      <c r="AG79"/>
      <c r="AH79"/>
      <c r="AI79"/>
      <c r="AJ79"/>
      <c r="AK79"/>
      <c r="AL79"/>
      <c r="AM79"/>
      <c r="AN79"/>
      <c r="AO79"/>
      <c r="AP79"/>
      <c r="AQ79"/>
      <c r="AR79"/>
      <c r="AS79"/>
      <c r="AT79"/>
      <c r="AU79"/>
      <c r="AV79"/>
      <c r="AW79"/>
      <c r="AX79"/>
    </row>
    <row r="80" spans="10:50" hidden="1" x14ac:dyDescent="0.3">
      <c r="X80"/>
      <c r="Y80"/>
      <c r="Z80"/>
      <c r="AA80"/>
      <c r="AB80"/>
      <c r="AC80"/>
      <c r="AD80"/>
      <c r="AE80"/>
      <c r="AF80"/>
      <c r="AG80"/>
      <c r="AH80"/>
      <c r="AI80"/>
      <c r="AJ80"/>
      <c r="AK80"/>
      <c r="AL80"/>
      <c r="AM80"/>
      <c r="AN80"/>
      <c r="AO80"/>
      <c r="AP80"/>
      <c r="AQ80"/>
      <c r="AR80"/>
      <c r="AS80"/>
      <c r="AT80"/>
      <c r="AU80"/>
      <c r="AV80"/>
      <c r="AW80"/>
      <c r="AX80"/>
    </row>
    <row r="81" spans="24:50" hidden="1" x14ac:dyDescent="0.3">
      <c r="X81"/>
      <c r="Y81"/>
      <c r="Z81"/>
      <c r="AA81"/>
      <c r="AB81"/>
      <c r="AC81"/>
      <c r="AD81"/>
      <c r="AE81"/>
      <c r="AF81"/>
      <c r="AG81"/>
      <c r="AH81"/>
      <c r="AI81"/>
      <c r="AJ81"/>
      <c r="AK81"/>
      <c r="AL81"/>
      <c r="AM81"/>
      <c r="AN81"/>
      <c r="AO81"/>
      <c r="AP81"/>
      <c r="AQ81"/>
      <c r="AR81"/>
      <c r="AS81"/>
      <c r="AT81"/>
      <c r="AU81"/>
      <c r="AV81"/>
      <c r="AW81"/>
      <c r="AX81"/>
    </row>
    <row r="82" spans="24:50" hidden="1" x14ac:dyDescent="0.3">
      <c r="X82"/>
      <c r="Y82"/>
      <c r="Z82"/>
      <c r="AA82"/>
      <c r="AB82"/>
      <c r="AC82"/>
      <c r="AD82"/>
      <c r="AE82"/>
      <c r="AF82"/>
      <c r="AG82"/>
      <c r="AH82"/>
      <c r="AI82"/>
      <c r="AJ82"/>
      <c r="AK82"/>
      <c r="AL82"/>
      <c r="AM82"/>
      <c r="AN82"/>
      <c r="AO82"/>
      <c r="AP82"/>
      <c r="AQ82"/>
      <c r="AR82"/>
      <c r="AS82"/>
      <c r="AT82"/>
      <c r="AU82"/>
      <c r="AV82"/>
      <c r="AW82"/>
      <c r="AX82"/>
    </row>
    <row r="83" spans="24:50" hidden="1" x14ac:dyDescent="0.3">
      <c r="X83"/>
      <c r="Y83"/>
      <c r="Z83"/>
      <c r="AA83"/>
      <c r="AB83"/>
      <c r="AC83"/>
      <c r="AD83"/>
      <c r="AE83"/>
      <c r="AF83"/>
      <c r="AG83"/>
      <c r="AH83"/>
      <c r="AI83"/>
      <c r="AJ83"/>
      <c r="AK83"/>
      <c r="AL83"/>
      <c r="AM83"/>
      <c r="AN83"/>
      <c r="AO83"/>
      <c r="AP83"/>
      <c r="AQ83"/>
      <c r="AR83"/>
      <c r="AS83"/>
      <c r="AT83"/>
      <c r="AU83"/>
      <c r="AV83"/>
      <c r="AW83"/>
      <c r="AX83"/>
    </row>
    <row r="84" spans="24:50" hidden="1" x14ac:dyDescent="0.3">
      <c r="X84"/>
      <c r="Y84"/>
      <c r="Z84"/>
      <c r="AA84"/>
      <c r="AB84"/>
      <c r="AC84"/>
      <c r="AD84"/>
      <c r="AE84"/>
      <c r="AF84"/>
      <c r="AG84"/>
      <c r="AH84"/>
      <c r="AI84"/>
      <c r="AJ84"/>
      <c r="AK84"/>
      <c r="AL84"/>
      <c r="AM84"/>
      <c r="AN84"/>
      <c r="AO84"/>
      <c r="AP84"/>
      <c r="AQ84"/>
      <c r="AR84"/>
      <c r="AS84"/>
      <c r="AT84"/>
      <c r="AU84"/>
      <c r="AV84"/>
      <c r="AW84"/>
      <c r="AX84"/>
    </row>
    <row r="85" spans="24:50" ht="14.7" hidden="1" customHeight="1" x14ac:dyDescent="0.3">
      <c r="X85"/>
      <c r="Y85"/>
      <c r="Z85"/>
      <c r="AA85"/>
      <c r="AB85"/>
      <c r="AC85"/>
      <c r="AD85"/>
      <c r="AE85"/>
      <c r="AF85"/>
      <c r="AG85"/>
      <c r="AH85"/>
      <c r="AI85"/>
      <c r="AJ85"/>
      <c r="AK85"/>
      <c r="AL85"/>
      <c r="AM85"/>
      <c r="AN85"/>
      <c r="AO85"/>
      <c r="AP85"/>
      <c r="AQ85"/>
      <c r="AR85"/>
      <c r="AS85"/>
      <c r="AT85"/>
      <c r="AU85"/>
      <c r="AV85"/>
      <c r="AW85"/>
      <c r="AX85"/>
    </row>
    <row r="86" spans="24:50" hidden="1" x14ac:dyDescent="0.3">
      <c r="X86"/>
      <c r="Y86"/>
      <c r="Z86"/>
      <c r="AA86"/>
      <c r="AB86"/>
      <c r="AC86"/>
      <c r="AD86"/>
      <c r="AE86"/>
      <c r="AF86"/>
      <c r="AG86"/>
      <c r="AH86"/>
      <c r="AI86"/>
      <c r="AJ86"/>
      <c r="AK86"/>
      <c r="AL86"/>
      <c r="AM86"/>
      <c r="AN86"/>
      <c r="AO86"/>
      <c r="AP86"/>
      <c r="AQ86"/>
      <c r="AR86"/>
      <c r="AS86"/>
      <c r="AT86"/>
      <c r="AU86"/>
      <c r="AV86"/>
      <c r="AW86"/>
      <c r="AX86"/>
    </row>
    <row r="87" spans="24:50" hidden="1" x14ac:dyDescent="0.3">
      <c r="X87"/>
      <c r="Y87"/>
      <c r="Z87"/>
      <c r="AA87"/>
      <c r="AB87"/>
      <c r="AC87"/>
      <c r="AD87"/>
      <c r="AE87"/>
      <c r="AF87"/>
      <c r="AG87"/>
      <c r="AH87"/>
      <c r="AI87"/>
      <c r="AJ87"/>
      <c r="AK87"/>
      <c r="AL87"/>
      <c r="AM87"/>
      <c r="AN87"/>
      <c r="AO87"/>
      <c r="AP87"/>
      <c r="AQ87"/>
      <c r="AR87"/>
      <c r="AS87"/>
      <c r="AT87"/>
      <c r="AU87"/>
      <c r="AV87"/>
      <c r="AW87"/>
      <c r="AX87"/>
    </row>
    <row r="88" spans="24:50" hidden="1" x14ac:dyDescent="0.3">
      <c r="X88"/>
      <c r="Y88"/>
      <c r="Z88"/>
      <c r="AA88"/>
      <c r="AB88"/>
      <c r="AC88"/>
      <c r="AD88"/>
      <c r="AE88"/>
      <c r="AF88"/>
      <c r="AG88"/>
      <c r="AH88"/>
      <c r="AI88"/>
      <c r="AJ88"/>
      <c r="AK88"/>
      <c r="AL88"/>
      <c r="AM88"/>
      <c r="AN88"/>
      <c r="AO88"/>
      <c r="AP88"/>
      <c r="AQ88"/>
      <c r="AR88"/>
      <c r="AS88"/>
      <c r="AT88"/>
      <c r="AU88"/>
      <c r="AV88"/>
      <c r="AW88"/>
      <c r="AX88"/>
    </row>
    <row r="89" spans="24:50" hidden="1" x14ac:dyDescent="0.3">
      <c r="X89"/>
      <c r="Y89"/>
      <c r="Z89"/>
      <c r="AA89"/>
      <c r="AB89"/>
      <c r="AC89"/>
      <c r="AD89"/>
      <c r="AE89"/>
      <c r="AF89"/>
      <c r="AG89"/>
      <c r="AH89"/>
      <c r="AI89"/>
      <c r="AJ89"/>
      <c r="AK89"/>
      <c r="AL89"/>
      <c r="AM89"/>
      <c r="AN89"/>
      <c r="AO89"/>
      <c r="AP89"/>
      <c r="AQ89"/>
      <c r="AR89"/>
      <c r="AS89"/>
      <c r="AT89"/>
      <c r="AU89"/>
      <c r="AV89"/>
      <c r="AW89"/>
      <c r="AX89"/>
    </row>
    <row r="90" spans="24:50" hidden="1" x14ac:dyDescent="0.3">
      <c r="X90"/>
      <c r="Y90"/>
      <c r="Z90"/>
      <c r="AA90"/>
      <c r="AB90"/>
      <c r="AC90"/>
      <c r="AD90"/>
      <c r="AE90"/>
      <c r="AF90"/>
      <c r="AG90"/>
      <c r="AH90"/>
      <c r="AI90"/>
      <c r="AJ90"/>
      <c r="AK90"/>
      <c r="AL90"/>
      <c r="AM90"/>
      <c r="AN90"/>
      <c r="AO90"/>
      <c r="AP90"/>
      <c r="AQ90"/>
      <c r="AR90"/>
      <c r="AS90"/>
      <c r="AT90"/>
      <c r="AU90"/>
      <c r="AV90"/>
      <c r="AW90"/>
      <c r="AX90"/>
    </row>
    <row r="91" spans="24:50" hidden="1" x14ac:dyDescent="0.3">
      <c r="X91"/>
      <c r="Y91"/>
      <c r="Z91"/>
      <c r="AA91"/>
      <c r="AB91"/>
      <c r="AC91"/>
      <c r="AD91"/>
      <c r="AE91"/>
      <c r="AF91"/>
      <c r="AG91"/>
      <c r="AH91"/>
      <c r="AI91"/>
      <c r="AJ91"/>
      <c r="AK91"/>
      <c r="AL91"/>
      <c r="AM91"/>
      <c r="AN91"/>
      <c r="AO91"/>
      <c r="AP91"/>
      <c r="AQ91"/>
      <c r="AR91"/>
      <c r="AS91"/>
      <c r="AT91"/>
      <c r="AU91"/>
      <c r="AV91"/>
      <c r="AW91"/>
      <c r="AX91"/>
    </row>
    <row r="92" spans="24:50" hidden="1" x14ac:dyDescent="0.3">
      <c r="X92"/>
      <c r="Y92"/>
      <c r="Z92"/>
      <c r="AA92"/>
      <c r="AB92"/>
      <c r="AC92"/>
      <c r="AD92"/>
      <c r="AE92"/>
      <c r="AF92"/>
      <c r="AG92"/>
      <c r="AH92"/>
      <c r="AI92"/>
      <c r="AJ92"/>
      <c r="AK92"/>
      <c r="AL92"/>
      <c r="AM92"/>
      <c r="AN92"/>
      <c r="AO92"/>
      <c r="AP92"/>
      <c r="AQ92"/>
      <c r="AR92"/>
      <c r="AS92"/>
      <c r="AT92"/>
      <c r="AU92"/>
      <c r="AV92"/>
      <c r="AW92"/>
      <c r="AX92"/>
    </row>
    <row r="93" spans="24:50" hidden="1" x14ac:dyDescent="0.3">
      <c r="X93"/>
      <c r="Y93"/>
      <c r="Z93"/>
      <c r="AA93"/>
      <c r="AB93"/>
      <c r="AC93"/>
      <c r="AD93"/>
      <c r="AE93"/>
      <c r="AF93"/>
      <c r="AG93"/>
      <c r="AH93"/>
      <c r="AI93"/>
      <c r="AJ93"/>
      <c r="AK93"/>
      <c r="AL93"/>
      <c r="AM93"/>
      <c r="AN93"/>
      <c r="AO93"/>
      <c r="AP93"/>
      <c r="AQ93"/>
      <c r="AR93"/>
      <c r="AS93"/>
      <c r="AT93"/>
      <c r="AU93"/>
      <c r="AV93"/>
      <c r="AW93"/>
      <c r="AX93"/>
    </row>
    <row r="94" spans="24:50" hidden="1" x14ac:dyDescent="0.3">
      <c r="X94"/>
      <c r="Y94"/>
      <c r="Z94"/>
      <c r="AA94"/>
      <c r="AB94"/>
      <c r="AC94"/>
      <c r="AD94"/>
      <c r="AE94"/>
      <c r="AF94"/>
      <c r="AG94"/>
      <c r="AH94"/>
      <c r="AI94"/>
      <c r="AJ94"/>
      <c r="AK94"/>
      <c r="AL94"/>
      <c r="AM94"/>
      <c r="AN94"/>
      <c r="AO94"/>
      <c r="AP94"/>
      <c r="AQ94"/>
      <c r="AR94"/>
      <c r="AS94"/>
      <c r="AT94"/>
      <c r="AU94"/>
      <c r="AV94"/>
      <c r="AW94"/>
      <c r="AX94"/>
    </row>
    <row r="95" spans="24:50" hidden="1" x14ac:dyDescent="0.3">
      <c r="X95"/>
      <c r="Y95"/>
      <c r="Z95"/>
      <c r="AA95"/>
      <c r="AB95"/>
      <c r="AC95"/>
      <c r="AD95"/>
      <c r="AE95"/>
      <c r="AF95"/>
      <c r="AG95"/>
      <c r="AH95"/>
      <c r="AI95"/>
      <c r="AJ95"/>
      <c r="AK95"/>
      <c r="AL95"/>
      <c r="AM95"/>
      <c r="AN95"/>
      <c r="AO95"/>
      <c r="AP95"/>
      <c r="AQ95"/>
      <c r="AR95"/>
      <c r="AS95"/>
      <c r="AT95"/>
      <c r="AU95"/>
      <c r="AV95"/>
      <c r="AW95"/>
      <c r="AX95"/>
    </row>
    <row r="96" spans="24:50" hidden="1" x14ac:dyDescent="0.3">
      <c r="X96"/>
      <c r="Y96"/>
      <c r="Z96"/>
      <c r="AA96"/>
      <c r="AB96"/>
      <c r="AC96"/>
      <c r="AD96"/>
      <c r="AE96"/>
      <c r="AF96"/>
      <c r="AG96"/>
      <c r="AH96"/>
      <c r="AI96"/>
      <c r="AJ96"/>
      <c r="AK96"/>
      <c r="AL96"/>
      <c r="AM96"/>
      <c r="AN96"/>
      <c r="AO96"/>
      <c r="AP96"/>
      <c r="AQ96"/>
      <c r="AR96"/>
      <c r="AS96"/>
      <c r="AT96"/>
      <c r="AU96"/>
      <c r="AV96"/>
      <c r="AW96"/>
      <c r="AX96"/>
    </row>
    <row r="97" spans="24:50" hidden="1" x14ac:dyDescent="0.3">
      <c r="X97"/>
      <c r="Y97"/>
      <c r="Z97"/>
      <c r="AA97"/>
      <c r="AB97"/>
      <c r="AC97"/>
      <c r="AD97"/>
      <c r="AE97"/>
      <c r="AF97"/>
      <c r="AG97"/>
      <c r="AH97"/>
      <c r="AI97"/>
      <c r="AJ97"/>
      <c r="AK97"/>
      <c r="AL97"/>
      <c r="AM97"/>
      <c r="AN97"/>
      <c r="AO97"/>
      <c r="AP97"/>
      <c r="AQ97"/>
      <c r="AR97"/>
      <c r="AS97"/>
      <c r="AT97"/>
      <c r="AU97"/>
      <c r="AV97"/>
      <c r="AW97"/>
      <c r="AX97"/>
    </row>
    <row r="98" spans="24:50" hidden="1" x14ac:dyDescent="0.3">
      <c r="X98"/>
      <c r="Y98"/>
      <c r="Z98"/>
      <c r="AA98"/>
      <c r="AB98"/>
      <c r="AC98"/>
      <c r="AD98"/>
      <c r="AE98"/>
      <c r="AF98"/>
      <c r="AG98"/>
      <c r="AH98"/>
      <c r="AI98"/>
      <c r="AJ98"/>
      <c r="AK98"/>
      <c r="AL98"/>
      <c r="AM98"/>
      <c r="AN98"/>
      <c r="AO98"/>
      <c r="AP98"/>
      <c r="AQ98"/>
      <c r="AR98"/>
      <c r="AS98"/>
      <c r="AT98"/>
      <c r="AU98"/>
      <c r="AV98"/>
      <c r="AW98"/>
      <c r="AX98"/>
    </row>
    <row r="99" spans="24:50" hidden="1" x14ac:dyDescent="0.3">
      <c r="AV99"/>
      <c r="AW99"/>
      <c r="AX99"/>
    </row>
    <row r="100" spans="24:50" hidden="1" x14ac:dyDescent="0.3">
      <c r="AV100"/>
      <c r="AW100"/>
      <c r="AX100"/>
    </row>
    <row r="101" spans="24:50" hidden="1" x14ac:dyDescent="0.3">
      <c r="AV101"/>
      <c r="AW101"/>
      <c r="AX101"/>
    </row>
    <row r="102" spans="24:50" x14ac:dyDescent="0.3"/>
    <row r="103" spans="24:50" x14ac:dyDescent="0.3"/>
    <row r="104" spans="24:50" x14ac:dyDescent="0.3"/>
    <row r="105" spans="24:50" x14ac:dyDescent="0.3"/>
  </sheetData>
  <sheetProtection algorithmName="SHA-512" hashValue="CKoyqFDhGo7siS5kaheDV9evd+WillofAhCHnm9xA0t8T1UAjD6SvNtOoABfrGvwhuXmSuQUNTB8w19Cx6cd0Q==" saltValue="sdjCmHP0OO8T8cmXdKHddQ==" spinCount="100000" sheet="1" scenarios="1" selectLockedCells="1"/>
  <mergeCells count="13">
    <mergeCell ref="A1:AS1"/>
    <mergeCell ref="X3:AO3"/>
    <mergeCell ref="X25:AO25"/>
    <mergeCell ref="W32:W36"/>
    <mergeCell ref="W37:W40"/>
    <mergeCell ref="D3:U3"/>
    <mergeCell ref="W41:W42"/>
    <mergeCell ref="W43:W49"/>
    <mergeCell ref="W27:W31"/>
    <mergeCell ref="W5:W9"/>
    <mergeCell ref="W10:W13"/>
    <mergeCell ref="W14:W15"/>
    <mergeCell ref="W16:W22"/>
  </mergeCells>
  <conditionalFormatting sqref="K34:L34">
    <cfRule type="expression" dxfId="3" priority="1">
      <formula>$Y$36&gt;0</formula>
    </cfRule>
  </conditionalFormatting>
  <conditionalFormatting sqref="K34:L34">
    <cfRule type="expression" dxfId="2" priority="2">
      <formula>$Y$36&lt;0</formula>
    </cfRule>
  </conditionalFormatting>
  <conditionalFormatting sqref="U32">
    <cfRule type="expression" dxfId="1" priority="3">
      <formula>$Y$53&gt;0</formula>
    </cfRule>
  </conditionalFormatting>
  <conditionalFormatting sqref="U32">
    <cfRule type="expression" dxfId="0" priority="4">
      <formula>$Y$53&lt;0</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4" tint="0.59999389629810485"/>
  </sheetPr>
  <dimension ref="A1:AP709"/>
  <sheetViews>
    <sheetView zoomScale="70" zoomScaleNormal="70" workbookViewId="0">
      <selection activeCell="H3" sqref="H3"/>
    </sheetView>
  </sheetViews>
  <sheetFormatPr defaultColWidth="9.109375" defaultRowHeight="14.4" outlineLevelRow="1" x14ac:dyDescent="0.3"/>
  <cols>
    <col min="1" max="1" width="7.6640625" customWidth="1"/>
    <col min="2" max="2" width="6.109375" customWidth="1"/>
    <col min="3" max="3" width="18.109375" bestFit="1" customWidth="1"/>
    <col min="4" max="4" width="6.5546875" bestFit="1" customWidth="1"/>
    <col min="5" max="5" width="68.88671875" bestFit="1" customWidth="1"/>
    <col min="6" max="6" width="25.88671875" bestFit="1" customWidth="1"/>
    <col min="7" max="7" width="16.109375" bestFit="1" customWidth="1"/>
    <col min="8" max="8" width="16.109375" customWidth="1"/>
    <col min="9" max="9" width="16.109375" bestFit="1" customWidth="1"/>
    <col min="10" max="10" width="23.109375" customWidth="1"/>
    <col min="11" max="11" width="22.88671875" customWidth="1"/>
    <col min="12" max="41" width="16.109375" bestFit="1" customWidth="1"/>
  </cols>
  <sheetData>
    <row r="1" spans="1:42" ht="24.6" x14ac:dyDescent="0.4">
      <c r="A1" s="993" t="s">
        <v>102</v>
      </c>
      <c r="B1" s="993"/>
      <c r="C1" s="993"/>
      <c r="D1" s="993"/>
      <c r="E1" s="993"/>
      <c r="F1" s="993"/>
      <c r="G1" s="993"/>
      <c r="H1" s="993"/>
      <c r="I1" s="993"/>
      <c r="J1" s="993"/>
      <c r="K1" s="993"/>
      <c r="L1" s="993"/>
      <c r="M1" s="993"/>
      <c r="N1" s="993"/>
      <c r="O1" s="993"/>
      <c r="P1" s="993"/>
      <c r="Q1" s="993"/>
      <c r="R1" s="993"/>
      <c r="S1" s="993"/>
      <c r="T1" s="993"/>
      <c r="U1" s="993"/>
      <c r="V1" s="993"/>
      <c r="W1" s="993"/>
      <c r="X1" s="993"/>
      <c r="Y1" s="993"/>
      <c r="Z1" s="993"/>
      <c r="AA1" s="993"/>
      <c r="AB1" s="993"/>
      <c r="AC1" s="993"/>
      <c r="AD1" s="993"/>
      <c r="AE1" s="993"/>
      <c r="AF1" s="993"/>
      <c r="AG1" s="993"/>
      <c r="AH1" s="993"/>
      <c r="AI1" s="993"/>
      <c r="AJ1" s="993"/>
      <c r="AK1" s="993"/>
      <c r="AL1" s="993"/>
      <c r="AM1" s="993"/>
      <c r="AN1" s="993"/>
      <c r="AO1" s="993"/>
    </row>
    <row r="2" spans="1:42" x14ac:dyDescent="0.3">
      <c r="E2" s="992" t="s">
        <v>118</v>
      </c>
      <c r="F2" s="992"/>
      <c r="G2" s="992"/>
      <c r="H2" s="992"/>
      <c r="I2" s="8"/>
    </row>
    <row r="3" spans="1:42" x14ac:dyDescent="0.3">
      <c r="E3" s="8" t="s">
        <v>119</v>
      </c>
    </row>
    <row r="4" spans="1:42" x14ac:dyDescent="0.3">
      <c r="A4" s="457"/>
      <c r="E4" s="8"/>
    </row>
    <row r="5" spans="1:42" x14ac:dyDescent="0.3">
      <c r="E5" s="620" t="s">
        <v>120</v>
      </c>
      <c r="F5" s="621">
        <f>'Gap Calculator'!E16</f>
        <v>1</v>
      </c>
    </row>
    <row r="6" spans="1:42" ht="21" x14ac:dyDescent="0.4">
      <c r="E6" s="622" t="str">
        <f>VLOOKUP($F$5,$D$30:$E$669,2,FALSE)</f>
        <v>Case 1|Residential - Small (5 kW/10 kWh)</v>
      </c>
      <c r="F6" s="623"/>
      <c r="G6" s="623"/>
      <c r="H6" s="623"/>
      <c r="I6" s="623"/>
      <c r="J6" s="623"/>
      <c r="K6" s="623"/>
      <c r="L6" s="623"/>
      <c r="M6" s="623"/>
      <c r="N6" s="623"/>
      <c r="O6" s="623"/>
      <c r="P6" s="623"/>
      <c r="Q6" s="623"/>
      <c r="R6" s="623"/>
      <c r="S6" s="623"/>
      <c r="T6" s="623"/>
      <c r="U6" s="623"/>
      <c r="V6" s="623"/>
      <c r="W6" s="623"/>
      <c r="X6" s="623"/>
      <c r="Y6" s="623"/>
      <c r="Z6" s="623"/>
      <c r="AA6" s="623"/>
      <c r="AB6" s="623"/>
      <c r="AC6" s="623"/>
      <c r="AD6" s="623"/>
      <c r="AE6" s="623"/>
      <c r="AF6" s="623"/>
      <c r="AG6" s="623"/>
      <c r="AH6" s="623"/>
      <c r="AI6" s="623"/>
      <c r="AJ6" s="623"/>
      <c r="AK6" s="623"/>
      <c r="AL6" s="623"/>
      <c r="AM6" s="623"/>
      <c r="AN6" s="623"/>
      <c r="AO6" s="623"/>
      <c r="AP6" s="624"/>
    </row>
    <row r="7" spans="1:42" outlineLevel="1" x14ac:dyDescent="0.3">
      <c r="E7" s="620"/>
      <c r="F7" s="625">
        <v>2025</v>
      </c>
      <c r="G7" s="625">
        <f>F7+1</f>
        <v>2026</v>
      </c>
      <c r="H7" s="625">
        <v>2027</v>
      </c>
      <c r="I7" s="625">
        <f t="shared" ref="I7:AO7" si="0">H7+1</f>
        <v>2028</v>
      </c>
      <c r="J7" s="625">
        <f t="shared" si="0"/>
        <v>2029</v>
      </c>
      <c r="K7" s="625">
        <f t="shared" si="0"/>
        <v>2030</v>
      </c>
      <c r="L7" s="625">
        <f t="shared" si="0"/>
        <v>2031</v>
      </c>
      <c r="M7" s="625">
        <f t="shared" si="0"/>
        <v>2032</v>
      </c>
      <c r="N7" s="625">
        <f t="shared" si="0"/>
        <v>2033</v>
      </c>
      <c r="O7" s="625">
        <f t="shared" si="0"/>
        <v>2034</v>
      </c>
      <c r="P7" s="625">
        <f t="shared" si="0"/>
        <v>2035</v>
      </c>
      <c r="Q7" s="625">
        <f t="shared" si="0"/>
        <v>2036</v>
      </c>
      <c r="R7" s="625">
        <f t="shared" si="0"/>
        <v>2037</v>
      </c>
      <c r="S7" s="625">
        <f t="shared" si="0"/>
        <v>2038</v>
      </c>
      <c r="T7" s="625">
        <f t="shared" si="0"/>
        <v>2039</v>
      </c>
      <c r="U7" s="625">
        <f t="shared" si="0"/>
        <v>2040</v>
      </c>
      <c r="V7" s="625">
        <f t="shared" si="0"/>
        <v>2041</v>
      </c>
      <c r="W7" s="625">
        <f t="shared" si="0"/>
        <v>2042</v>
      </c>
      <c r="X7" s="625">
        <f t="shared" si="0"/>
        <v>2043</v>
      </c>
      <c r="Y7" s="625">
        <f t="shared" si="0"/>
        <v>2044</v>
      </c>
      <c r="Z7" s="625">
        <f t="shared" si="0"/>
        <v>2045</v>
      </c>
      <c r="AA7" s="625">
        <f t="shared" si="0"/>
        <v>2046</v>
      </c>
      <c r="AB7" s="625">
        <f t="shared" si="0"/>
        <v>2047</v>
      </c>
      <c r="AC7" s="625">
        <f t="shared" si="0"/>
        <v>2048</v>
      </c>
      <c r="AD7" s="625">
        <f t="shared" si="0"/>
        <v>2049</v>
      </c>
      <c r="AE7" s="625">
        <f t="shared" si="0"/>
        <v>2050</v>
      </c>
      <c r="AF7" s="625">
        <f t="shared" si="0"/>
        <v>2051</v>
      </c>
      <c r="AG7" s="625">
        <f t="shared" si="0"/>
        <v>2052</v>
      </c>
      <c r="AH7" s="625">
        <f t="shared" si="0"/>
        <v>2053</v>
      </c>
      <c r="AI7" s="625">
        <f t="shared" si="0"/>
        <v>2054</v>
      </c>
      <c r="AJ7" s="625">
        <f t="shared" si="0"/>
        <v>2055</v>
      </c>
      <c r="AK7" s="625">
        <f t="shared" si="0"/>
        <v>2056</v>
      </c>
      <c r="AL7" s="625">
        <f t="shared" si="0"/>
        <v>2057</v>
      </c>
      <c r="AM7" s="625">
        <f t="shared" si="0"/>
        <v>2058</v>
      </c>
      <c r="AN7" s="625">
        <f t="shared" si="0"/>
        <v>2059</v>
      </c>
      <c r="AO7" s="625">
        <f t="shared" si="0"/>
        <v>2060</v>
      </c>
      <c r="AP7" s="626"/>
    </row>
    <row r="8" spans="1:42" outlineLevel="1" x14ac:dyDescent="0.3">
      <c r="D8" s="627">
        <v>1</v>
      </c>
      <c r="E8" s="628" t="s">
        <v>437</v>
      </c>
      <c r="F8" s="301"/>
      <c r="G8" s="301"/>
      <c r="H8" s="301"/>
      <c r="I8" s="301" cm="1">
        <f t="array" ref="I8">INDEX(revenueMatrixNew,($F$5-1)*40+$D8+2,I$7-2024)</f>
        <v>0</v>
      </c>
      <c r="J8" s="301" cm="1">
        <f t="array" ref="J8">INDEX(revenueMatrixNew,($F$5-1)*40+$D8+2,J$7-2024)</f>
        <v>0</v>
      </c>
      <c r="K8" s="301" cm="1">
        <f t="array" ref="K8">INDEX(revenueMatrixNew,($F$5-1)*40+$D8+2,K$7-2024)</f>
        <v>0</v>
      </c>
      <c r="L8" s="301" cm="1">
        <f t="array" ref="L8">INDEX(revenueMatrixNew,($F$5-1)*40+$D8+2,L$7-2024)</f>
        <v>0</v>
      </c>
      <c r="M8" s="301" cm="1">
        <f t="array" ref="M8">INDEX(revenueMatrixNew,($F$5-1)*40+$D8+2,M$7-2024)</f>
        <v>0</v>
      </c>
      <c r="N8" s="301" cm="1">
        <f t="array" ref="N8">INDEX(revenueMatrixNew,($F$5-1)*40+$D8+2,N$7-2024)</f>
        <v>0</v>
      </c>
      <c r="O8" s="301" cm="1">
        <f t="array" ref="O8">INDEX(revenueMatrixNew,($F$5-1)*40+$D8+2,O$7-2024)</f>
        <v>0</v>
      </c>
      <c r="P8" s="301" cm="1">
        <f t="array" ref="P8">INDEX(revenueMatrixNew,($F$5-1)*40+$D8+2,P$7-2024)</f>
        <v>0</v>
      </c>
      <c r="Q8" s="301" cm="1">
        <f t="array" ref="Q8">INDEX(revenueMatrixNew,($F$5-1)*40+$D8+2,Q$7-2024)</f>
        <v>0</v>
      </c>
      <c r="R8" s="301" cm="1">
        <f t="array" ref="R8">INDEX(revenueMatrixNew,($F$5-1)*40+$D8+2,R$7-2024)</f>
        <v>0</v>
      </c>
      <c r="S8" s="301" cm="1">
        <f t="array" ref="S8">INDEX(revenueMatrixNew,($F$5-1)*40+$D8+2,S$7-2024)</f>
        <v>0</v>
      </c>
      <c r="T8" s="301" cm="1">
        <f t="array" ref="T8">INDEX(revenueMatrixNew,($F$5-1)*40+$D8+2,T$7-2024)</f>
        <v>0</v>
      </c>
      <c r="U8" s="301" cm="1">
        <f t="array" ref="U8">INDEX(revenueMatrixNew,($F$5-1)*40+$D8+2,U$7-2024)</f>
        <v>0</v>
      </c>
      <c r="V8" s="301" cm="1">
        <f t="array" ref="V8">INDEX(revenueMatrixNew,($F$5-1)*40+$D8+2,V$7-2024)</f>
        <v>0</v>
      </c>
      <c r="W8" s="301" cm="1">
        <f t="array" ref="W8">INDEX(revenueMatrixNew,($F$5-1)*40+$D8+2,W$7-2024)</f>
        <v>0</v>
      </c>
      <c r="X8" s="301" cm="1">
        <f t="array" ref="X8">INDEX(revenueMatrixNew,($F$5-1)*40+$D8+2,X$7-2024)</f>
        <v>0</v>
      </c>
      <c r="Y8" s="301" cm="1">
        <f t="array" ref="Y8">INDEX(revenueMatrixNew,($F$5-1)*40+$D8+2,Y$7-2024)</f>
        <v>0</v>
      </c>
      <c r="Z8" s="301" cm="1">
        <f t="array" ref="Z8">INDEX(revenueMatrixNew,($F$5-1)*40+$D8+2,Z$7-2024)</f>
        <v>0</v>
      </c>
      <c r="AA8" s="301" cm="1">
        <f t="array" ref="AA8">INDEX(revenueMatrixNew,($F$5-1)*40+$D8+2,AA$7-2024)</f>
        <v>0</v>
      </c>
      <c r="AB8" s="301" cm="1">
        <f t="array" ref="AB8">INDEX(revenueMatrixNew,($F$5-1)*40+$D8+2,AB$7-2024)</f>
        <v>0</v>
      </c>
      <c r="AC8" s="301" cm="1">
        <f t="array" ref="AC8">INDEX(revenueMatrixNew,($F$5-1)*40+$D8+2,AC$7-2024)</f>
        <v>0</v>
      </c>
      <c r="AD8" s="301" cm="1">
        <f t="array" ref="AD8">INDEX(revenueMatrixNew,($F$5-1)*40+$D8+2,AD$7-2024)</f>
        <v>0</v>
      </c>
      <c r="AE8" s="301" cm="1">
        <f t="array" ref="AE8">INDEX(revenueMatrixNew,($F$5-1)*40+$D8+2,AE$7-2024)</f>
        <v>0</v>
      </c>
      <c r="AF8" s="301" cm="1">
        <f t="array" ref="AF8">INDEX(revenueMatrixNew,($F$5-1)*40+$D8+2,AF$7-2024)</f>
        <v>0</v>
      </c>
      <c r="AG8" s="301" cm="1">
        <f t="array" ref="AG8">INDEX(revenueMatrixNew,($F$5-1)*40+$D8+2,AG$7-2024)</f>
        <v>0</v>
      </c>
      <c r="AH8" s="301" cm="1">
        <f t="array" ref="AH8">INDEX(revenueMatrixNew,($F$5-1)*40+$D8+2,AH$7-2024)</f>
        <v>0</v>
      </c>
      <c r="AI8" s="301" cm="1">
        <f t="array" ref="AI8">INDEX(revenueMatrixNew,($F$5-1)*40+$D8+2,AI$7-2024)</f>
        <v>0</v>
      </c>
      <c r="AJ8" s="301" cm="1">
        <f t="array" ref="AJ8">INDEX(revenueMatrixNew,($F$5-1)*40+$D8+2,AJ$7-2024)</f>
        <v>0</v>
      </c>
      <c r="AK8" s="301" cm="1">
        <f t="array" ref="AK8">INDEX(revenueMatrixNew,($F$5-1)*40+$D8+2,AK$7-2024)</f>
        <v>0</v>
      </c>
      <c r="AL8" s="301" cm="1">
        <f t="array" ref="AL8">INDEX(revenueMatrixNew,($F$5-1)*40+$D8+2,AL$7-2024)</f>
        <v>0</v>
      </c>
      <c r="AM8" s="301" cm="1">
        <f t="array" ref="AM8">INDEX(revenueMatrixNew,($F$5-1)*40+$D8+2,AM$7-2024)</f>
        <v>0</v>
      </c>
      <c r="AN8" s="301" cm="1">
        <f t="array" ref="AN8">INDEX(revenueMatrixNew,($F$5-1)*40+$D8+2,AN$7-2024)</f>
        <v>0</v>
      </c>
      <c r="AO8" s="301" cm="1">
        <f t="array" ref="AO8">INDEX(revenueMatrixNew,($F$5-1)*40+$D8+2,AO$7-2024)</f>
        <v>0</v>
      </c>
      <c r="AP8" s="163"/>
    </row>
    <row r="9" spans="1:42" outlineLevel="1" x14ac:dyDescent="0.3">
      <c r="D9" s="627">
        <v>2</v>
      </c>
      <c r="E9" s="628" t="s">
        <v>449</v>
      </c>
      <c r="F9" s="301"/>
      <c r="G9" s="301"/>
      <c r="H9" s="301"/>
      <c r="I9" s="301" cm="1">
        <f t="array" ref="I9">INDEX(revenueMatrixNew,($F$5-1)*40+$D9+2,I$7-2024)</f>
        <v>0</v>
      </c>
      <c r="J9" s="301" cm="1">
        <f t="array" ref="J9">INDEX(revenueMatrixNew,($F$5-1)*40+$D9+2,J$7-2024)</f>
        <v>0</v>
      </c>
      <c r="K9" s="301" cm="1">
        <f t="array" ref="K9">INDEX(revenueMatrixNew,($F$5-1)*40+$D9+2,K$7-2024)</f>
        <v>0</v>
      </c>
      <c r="L9" s="301" cm="1">
        <f t="array" ref="L9">INDEX(revenueMatrixNew,($F$5-1)*40+$D9+2,L$7-2024)</f>
        <v>0</v>
      </c>
      <c r="M9" s="301" cm="1">
        <f t="array" ref="M9">INDEX(revenueMatrixNew,($F$5-1)*40+$D9+2,M$7-2024)</f>
        <v>0</v>
      </c>
      <c r="N9" s="301" cm="1">
        <f t="array" ref="N9">INDEX(revenueMatrixNew,($F$5-1)*40+$D9+2,N$7-2024)</f>
        <v>0</v>
      </c>
      <c r="O9" s="301" cm="1">
        <f t="array" ref="O9">INDEX(revenueMatrixNew,($F$5-1)*40+$D9+2,O$7-2024)</f>
        <v>0</v>
      </c>
      <c r="P9" s="301" cm="1">
        <f t="array" ref="P9">INDEX(revenueMatrixNew,($F$5-1)*40+$D9+2,P$7-2024)</f>
        <v>0</v>
      </c>
      <c r="Q9" s="301" cm="1">
        <f t="array" ref="Q9">INDEX(revenueMatrixNew,($F$5-1)*40+$D9+2,Q$7-2024)</f>
        <v>0</v>
      </c>
      <c r="R9" s="301" cm="1">
        <f t="array" ref="R9">INDEX(revenueMatrixNew,($F$5-1)*40+$D9+2,R$7-2024)</f>
        <v>0</v>
      </c>
      <c r="S9" s="301" cm="1">
        <f t="array" ref="S9">INDEX(revenueMatrixNew,($F$5-1)*40+$D9+2,S$7-2024)</f>
        <v>0</v>
      </c>
      <c r="T9" s="301" cm="1">
        <f t="array" ref="T9">INDEX(revenueMatrixNew,($F$5-1)*40+$D9+2,T$7-2024)</f>
        <v>0</v>
      </c>
      <c r="U9" s="301" cm="1">
        <f t="array" ref="U9">INDEX(revenueMatrixNew,($F$5-1)*40+$D9+2,U$7-2024)</f>
        <v>0</v>
      </c>
      <c r="V9" s="301" cm="1">
        <f t="array" ref="V9">INDEX(revenueMatrixNew,($F$5-1)*40+$D9+2,V$7-2024)</f>
        <v>0</v>
      </c>
      <c r="W9" s="301" cm="1">
        <f t="array" ref="W9">INDEX(revenueMatrixNew,($F$5-1)*40+$D9+2,W$7-2024)</f>
        <v>0</v>
      </c>
      <c r="X9" s="301" cm="1">
        <f t="array" ref="X9">INDEX(revenueMatrixNew,($F$5-1)*40+$D9+2,X$7-2024)</f>
        <v>0</v>
      </c>
      <c r="Y9" s="301" cm="1">
        <f t="array" ref="Y9">INDEX(revenueMatrixNew,($F$5-1)*40+$D9+2,Y$7-2024)</f>
        <v>0</v>
      </c>
      <c r="Z9" s="301" cm="1">
        <f t="array" ref="Z9">INDEX(revenueMatrixNew,($F$5-1)*40+$D9+2,Z$7-2024)</f>
        <v>0</v>
      </c>
      <c r="AA9" s="301" cm="1">
        <f t="array" ref="AA9">INDEX(revenueMatrixNew,($F$5-1)*40+$D9+2,AA$7-2024)</f>
        <v>0</v>
      </c>
      <c r="AB9" s="301" cm="1">
        <f t="array" ref="AB9">INDEX(revenueMatrixNew,($F$5-1)*40+$D9+2,AB$7-2024)</f>
        <v>0</v>
      </c>
      <c r="AC9" s="301" cm="1">
        <f t="array" ref="AC9">INDEX(revenueMatrixNew,($F$5-1)*40+$D9+2,AC$7-2024)</f>
        <v>0</v>
      </c>
      <c r="AD9" s="301" cm="1">
        <f t="array" ref="AD9">INDEX(revenueMatrixNew,($F$5-1)*40+$D9+2,AD$7-2024)</f>
        <v>0</v>
      </c>
      <c r="AE9" s="301" cm="1">
        <f t="array" ref="AE9">INDEX(revenueMatrixNew,($F$5-1)*40+$D9+2,AE$7-2024)</f>
        <v>0</v>
      </c>
      <c r="AF9" s="301" cm="1">
        <f t="array" ref="AF9">INDEX(revenueMatrixNew,($F$5-1)*40+$D9+2,AF$7-2024)</f>
        <v>0</v>
      </c>
      <c r="AG9" s="301" cm="1">
        <f t="array" ref="AG9">INDEX(revenueMatrixNew,($F$5-1)*40+$D9+2,AG$7-2024)</f>
        <v>0</v>
      </c>
      <c r="AH9" s="301" cm="1">
        <f t="array" ref="AH9">INDEX(revenueMatrixNew,($F$5-1)*40+$D9+2,AH$7-2024)</f>
        <v>0</v>
      </c>
      <c r="AI9" s="301" cm="1">
        <f t="array" ref="AI9">INDEX(revenueMatrixNew,($F$5-1)*40+$D9+2,AI$7-2024)</f>
        <v>0</v>
      </c>
      <c r="AJ9" s="301" cm="1">
        <f t="array" ref="AJ9">INDEX(revenueMatrixNew,($F$5-1)*40+$D9+2,AJ$7-2024)</f>
        <v>0</v>
      </c>
      <c r="AK9" s="301" cm="1">
        <f t="array" ref="AK9">INDEX(revenueMatrixNew,($F$5-1)*40+$D9+2,AK$7-2024)</f>
        <v>0</v>
      </c>
      <c r="AL9" s="301" cm="1">
        <f t="array" ref="AL9">INDEX(revenueMatrixNew,($F$5-1)*40+$D9+2,AL$7-2024)</f>
        <v>0</v>
      </c>
      <c r="AM9" s="301" cm="1">
        <f t="array" ref="AM9">INDEX(revenueMatrixNew,($F$5-1)*40+$D9+2,AM$7-2024)</f>
        <v>0</v>
      </c>
      <c r="AN9" s="301" cm="1">
        <f t="array" ref="AN9">INDEX(revenueMatrixNew,($F$5-1)*40+$D9+2,AN$7-2024)</f>
        <v>0</v>
      </c>
      <c r="AO9" s="301" cm="1">
        <f t="array" ref="AO9">INDEX(revenueMatrixNew,($F$5-1)*40+$D9+2,AO$7-2024)</f>
        <v>0</v>
      </c>
      <c r="AP9" s="163"/>
    </row>
    <row r="10" spans="1:42" outlineLevel="1" x14ac:dyDescent="0.3">
      <c r="D10" s="627">
        <v>3</v>
      </c>
      <c r="E10" s="628" t="s">
        <v>147</v>
      </c>
      <c r="F10" s="301"/>
      <c r="G10" s="301"/>
      <c r="H10" s="301"/>
      <c r="I10" s="301" cm="1">
        <f t="array" ref="I10">INDEX(revenueMatrixNew,($F$5-1)*40+$D10+2,I$7-2024)</f>
        <v>0</v>
      </c>
      <c r="J10" s="301" cm="1">
        <f t="array" ref="J10">INDEX(revenueMatrixNew,($F$5-1)*40+$D10+2,J$7-2024)</f>
        <v>0</v>
      </c>
      <c r="K10" s="301" cm="1">
        <f t="array" ref="K10">INDEX(revenueMatrixNew,($F$5-1)*40+$D10+2,K$7-2024)</f>
        <v>0</v>
      </c>
      <c r="L10" s="301" cm="1">
        <f t="array" ref="L10">INDEX(revenueMatrixNew,($F$5-1)*40+$D10+2,L$7-2024)</f>
        <v>0</v>
      </c>
      <c r="M10" s="301" cm="1">
        <f t="array" ref="M10">INDEX(revenueMatrixNew,($F$5-1)*40+$D10+2,M$7-2024)</f>
        <v>0</v>
      </c>
      <c r="N10" s="301" cm="1">
        <f t="array" ref="N10">INDEX(revenueMatrixNew,($F$5-1)*40+$D10+2,N$7-2024)</f>
        <v>0</v>
      </c>
      <c r="O10" s="301" cm="1">
        <f t="array" ref="O10">INDEX(revenueMatrixNew,($F$5-1)*40+$D10+2,O$7-2024)</f>
        <v>0</v>
      </c>
      <c r="P10" s="301" cm="1">
        <f t="array" ref="P10">INDEX(revenueMatrixNew,($F$5-1)*40+$D10+2,P$7-2024)</f>
        <v>0</v>
      </c>
      <c r="Q10" s="301" cm="1">
        <f t="array" ref="Q10">INDEX(revenueMatrixNew,($F$5-1)*40+$D10+2,Q$7-2024)</f>
        <v>0</v>
      </c>
      <c r="R10" s="301" cm="1">
        <f t="array" ref="R10">INDEX(revenueMatrixNew,($F$5-1)*40+$D10+2,R$7-2024)</f>
        <v>0</v>
      </c>
      <c r="S10" s="301" cm="1">
        <f t="array" ref="S10">INDEX(revenueMatrixNew,($F$5-1)*40+$D10+2,S$7-2024)</f>
        <v>0</v>
      </c>
      <c r="T10" s="301" cm="1">
        <f t="array" ref="T10">INDEX(revenueMatrixNew,($F$5-1)*40+$D10+2,T$7-2024)</f>
        <v>0</v>
      </c>
      <c r="U10" s="301" cm="1">
        <f t="array" ref="U10">INDEX(revenueMatrixNew,($F$5-1)*40+$D10+2,U$7-2024)</f>
        <v>0</v>
      </c>
      <c r="V10" s="301" cm="1">
        <f t="array" ref="V10">INDEX(revenueMatrixNew,($F$5-1)*40+$D10+2,V$7-2024)</f>
        <v>0</v>
      </c>
      <c r="W10" s="301" cm="1">
        <f t="array" ref="W10">INDEX(revenueMatrixNew,($F$5-1)*40+$D10+2,W$7-2024)</f>
        <v>0</v>
      </c>
      <c r="X10" s="301" cm="1">
        <f t="array" ref="X10">INDEX(revenueMatrixNew,($F$5-1)*40+$D10+2,X$7-2024)</f>
        <v>0</v>
      </c>
      <c r="Y10" s="301" cm="1">
        <f t="array" ref="Y10">INDEX(revenueMatrixNew,($F$5-1)*40+$D10+2,Y$7-2024)</f>
        <v>0</v>
      </c>
      <c r="Z10" s="301" cm="1">
        <f t="array" ref="Z10">INDEX(revenueMatrixNew,($F$5-1)*40+$D10+2,Z$7-2024)</f>
        <v>0</v>
      </c>
      <c r="AA10" s="301" cm="1">
        <f t="array" ref="AA10">INDEX(revenueMatrixNew,($F$5-1)*40+$D10+2,AA$7-2024)</f>
        <v>0</v>
      </c>
      <c r="AB10" s="301" cm="1">
        <f t="array" ref="AB10">INDEX(revenueMatrixNew,($F$5-1)*40+$D10+2,AB$7-2024)</f>
        <v>0</v>
      </c>
      <c r="AC10" s="301" cm="1">
        <f t="array" ref="AC10">INDEX(revenueMatrixNew,($F$5-1)*40+$D10+2,AC$7-2024)</f>
        <v>0</v>
      </c>
      <c r="AD10" s="301" cm="1">
        <f t="array" ref="AD10">INDEX(revenueMatrixNew,($F$5-1)*40+$D10+2,AD$7-2024)</f>
        <v>0</v>
      </c>
      <c r="AE10" s="301" cm="1">
        <f t="array" ref="AE10">INDEX(revenueMatrixNew,($F$5-1)*40+$D10+2,AE$7-2024)</f>
        <v>0</v>
      </c>
      <c r="AF10" s="301" cm="1">
        <f t="array" ref="AF10">INDEX(revenueMatrixNew,($F$5-1)*40+$D10+2,AF$7-2024)</f>
        <v>0</v>
      </c>
      <c r="AG10" s="301" cm="1">
        <f t="array" ref="AG10">INDEX(revenueMatrixNew,($F$5-1)*40+$D10+2,AG$7-2024)</f>
        <v>0</v>
      </c>
      <c r="AH10" s="301" cm="1">
        <f t="array" ref="AH10">INDEX(revenueMatrixNew,($F$5-1)*40+$D10+2,AH$7-2024)</f>
        <v>0</v>
      </c>
      <c r="AI10" s="301" cm="1">
        <f t="array" ref="AI10">INDEX(revenueMatrixNew,($F$5-1)*40+$D10+2,AI$7-2024)</f>
        <v>0</v>
      </c>
      <c r="AJ10" s="301" cm="1">
        <f t="array" ref="AJ10">INDEX(revenueMatrixNew,($F$5-1)*40+$D10+2,AJ$7-2024)</f>
        <v>0</v>
      </c>
      <c r="AK10" s="301" cm="1">
        <f t="array" ref="AK10">INDEX(revenueMatrixNew,($F$5-1)*40+$D10+2,AK$7-2024)</f>
        <v>0</v>
      </c>
      <c r="AL10" s="301" cm="1">
        <f t="array" ref="AL10">INDEX(revenueMatrixNew,($F$5-1)*40+$D10+2,AL$7-2024)</f>
        <v>0</v>
      </c>
      <c r="AM10" s="301" cm="1">
        <f t="array" ref="AM10">INDEX(revenueMatrixNew,($F$5-1)*40+$D10+2,AM$7-2024)</f>
        <v>0</v>
      </c>
      <c r="AN10" s="301" cm="1">
        <f t="array" ref="AN10">INDEX(revenueMatrixNew,($F$5-1)*40+$D10+2,AN$7-2024)</f>
        <v>0</v>
      </c>
      <c r="AO10" s="301" cm="1">
        <f t="array" ref="AO10">INDEX(revenueMatrixNew,($F$5-1)*40+$D10+2,AO$7-2024)</f>
        <v>0</v>
      </c>
      <c r="AP10" s="163"/>
    </row>
    <row r="11" spans="1:42" outlineLevel="1" x14ac:dyDescent="0.3">
      <c r="D11" s="627">
        <v>4</v>
      </c>
      <c r="E11" s="628" t="s">
        <v>148</v>
      </c>
      <c r="F11" s="301"/>
      <c r="G11" s="301"/>
      <c r="H11" s="301"/>
      <c r="I11" s="301" cm="1">
        <f t="array" ref="I11">INDEX(revenueMatrixNew,($F$5-1)*40+$D11+2,I$7-2024)</f>
        <v>0</v>
      </c>
      <c r="J11" s="301" cm="1">
        <f t="array" ref="J11">INDEX(revenueMatrixNew,($F$5-1)*40+$D11+2,J$7-2024)</f>
        <v>0</v>
      </c>
      <c r="K11" s="301" cm="1">
        <f t="array" ref="K11">INDEX(revenueMatrixNew,($F$5-1)*40+$D11+2,K$7-2024)</f>
        <v>0</v>
      </c>
      <c r="L11" s="301" cm="1">
        <f t="array" ref="L11">INDEX(revenueMatrixNew,($F$5-1)*40+$D11+2,L$7-2024)</f>
        <v>0</v>
      </c>
      <c r="M11" s="301" cm="1">
        <f t="array" ref="M11">INDEX(revenueMatrixNew,($F$5-1)*40+$D11+2,M$7-2024)</f>
        <v>0</v>
      </c>
      <c r="N11" s="301" cm="1">
        <f t="array" ref="N11">INDEX(revenueMatrixNew,($F$5-1)*40+$D11+2,N$7-2024)</f>
        <v>0</v>
      </c>
      <c r="O11" s="301" cm="1">
        <f t="array" ref="O11">INDEX(revenueMatrixNew,($F$5-1)*40+$D11+2,O$7-2024)</f>
        <v>0</v>
      </c>
      <c r="P11" s="301" cm="1">
        <f t="array" ref="P11">INDEX(revenueMatrixNew,($F$5-1)*40+$D11+2,P$7-2024)</f>
        <v>0</v>
      </c>
      <c r="Q11" s="301" cm="1">
        <f t="array" ref="Q11">INDEX(revenueMatrixNew,($F$5-1)*40+$D11+2,Q$7-2024)</f>
        <v>0</v>
      </c>
      <c r="R11" s="301" cm="1">
        <f t="array" ref="R11">INDEX(revenueMatrixNew,($F$5-1)*40+$D11+2,R$7-2024)</f>
        <v>0</v>
      </c>
      <c r="S11" s="301" cm="1">
        <f t="array" ref="S11">INDEX(revenueMatrixNew,($F$5-1)*40+$D11+2,S$7-2024)</f>
        <v>0</v>
      </c>
      <c r="T11" s="301" cm="1">
        <f t="array" ref="T11">INDEX(revenueMatrixNew,($F$5-1)*40+$D11+2,T$7-2024)</f>
        <v>0</v>
      </c>
      <c r="U11" s="301" cm="1">
        <f t="array" ref="U11">INDEX(revenueMatrixNew,($F$5-1)*40+$D11+2,U$7-2024)</f>
        <v>0</v>
      </c>
      <c r="V11" s="301" cm="1">
        <f t="array" ref="V11">INDEX(revenueMatrixNew,($F$5-1)*40+$D11+2,V$7-2024)</f>
        <v>0</v>
      </c>
      <c r="W11" s="301" cm="1">
        <f t="array" ref="W11">INDEX(revenueMatrixNew,($F$5-1)*40+$D11+2,W$7-2024)</f>
        <v>0</v>
      </c>
      <c r="X11" s="301" cm="1">
        <f t="array" ref="X11">INDEX(revenueMatrixNew,($F$5-1)*40+$D11+2,X$7-2024)</f>
        <v>0</v>
      </c>
      <c r="Y11" s="301" cm="1">
        <f t="array" ref="Y11">INDEX(revenueMatrixNew,($F$5-1)*40+$D11+2,Y$7-2024)</f>
        <v>0</v>
      </c>
      <c r="Z11" s="301" cm="1">
        <f t="array" ref="Z11">INDEX(revenueMatrixNew,($F$5-1)*40+$D11+2,Z$7-2024)</f>
        <v>0</v>
      </c>
      <c r="AA11" s="301" cm="1">
        <f t="array" ref="AA11">INDEX(revenueMatrixNew,($F$5-1)*40+$D11+2,AA$7-2024)</f>
        <v>0</v>
      </c>
      <c r="AB11" s="301" cm="1">
        <f t="array" ref="AB11">INDEX(revenueMatrixNew,($F$5-1)*40+$D11+2,AB$7-2024)</f>
        <v>0</v>
      </c>
      <c r="AC11" s="301" cm="1">
        <f t="array" ref="AC11">INDEX(revenueMatrixNew,($F$5-1)*40+$D11+2,AC$7-2024)</f>
        <v>0</v>
      </c>
      <c r="AD11" s="301" cm="1">
        <f t="array" ref="AD11">INDEX(revenueMatrixNew,($F$5-1)*40+$D11+2,AD$7-2024)</f>
        <v>0</v>
      </c>
      <c r="AE11" s="301" cm="1">
        <f t="array" ref="AE11">INDEX(revenueMatrixNew,($F$5-1)*40+$D11+2,AE$7-2024)</f>
        <v>0</v>
      </c>
      <c r="AF11" s="301" cm="1">
        <f t="array" ref="AF11">INDEX(revenueMatrixNew,($F$5-1)*40+$D11+2,AF$7-2024)</f>
        <v>0</v>
      </c>
      <c r="AG11" s="301" cm="1">
        <f t="array" ref="AG11">INDEX(revenueMatrixNew,($F$5-1)*40+$D11+2,AG$7-2024)</f>
        <v>0</v>
      </c>
      <c r="AH11" s="301" cm="1">
        <f t="array" ref="AH11">INDEX(revenueMatrixNew,($F$5-1)*40+$D11+2,AH$7-2024)</f>
        <v>0</v>
      </c>
      <c r="AI11" s="301" cm="1">
        <f t="array" ref="AI11">INDEX(revenueMatrixNew,($F$5-1)*40+$D11+2,AI$7-2024)</f>
        <v>0</v>
      </c>
      <c r="AJ11" s="301" cm="1">
        <f t="array" ref="AJ11">INDEX(revenueMatrixNew,($F$5-1)*40+$D11+2,AJ$7-2024)</f>
        <v>0</v>
      </c>
      <c r="AK11" s="301" cm="1">
        <f t="array" ref="AK11">INDEX(revenueMatrixNew,($F$5-1)*40+$D11+2,AK$7-2024)</f>
        <v>0</v>
      </c>
      <c r="AL11" s="301" cm="1">
        <f t="array" ref="AL11">INDEX(revenueMatrixNew,($F$5-1)*40+$D11+2,AL$7-2024)</f>
        <v>0</v>
      </c>
      <c r="AM11" s="301" cm="1">
        <f t="array" ref="AM11">INDEX(revenueMatrixNew,($F$5-1)*40+$D11+2,AM$7-2024)</f>
        <v>0</v>
      </c>
      <c r="AN11" s="301" cm="1">
        <f t="array" ref="AN11">INDEX(revenueMatrixNew,($F$5-1)*40+$D11+2,AN$7-2024)</f>
        <v>0</v>
      </c>
      <c r="AO11" s="301" cm="1">
        <f t="array" ref="AO11">INDEX(revenueMatrixNew,($F$5-1)*40+$D11+2,AO$7-2024)</f>
        <v>0</v>
      </c>
      <c r="AP11" s="163"/>
    </row>
    <row r="12" spans="1:42" outlineLevel="1" x14ac:dyDescent="0.3">
      <c r="D12" s="627">
        <v>5</v>
      </c>
      <c r="E12" s="628" t="s">
        <v>149</v>
      </c>
      <c r="F12" s="301"/>
      <c r="G12" s="301"/>
      <c r="H12" s="301"/>
      <c r="I12" s="301" cm="1">
        <f t="array" ref="I12">INDEX(revenueMatrixNew,($F$5-1)*40+$D12+2,I$7-2024)</f>
        <v>0</v>
      </c>
      <c r="J12" s="301" cm="1">
        <f t="array" ref="J12">INDEX(revenueMatrixNew,($F$5-1)*40+$D12+2,J$7-2024)</f>
        <v>0</v>
      </c>
      <c r="K12" s="301" cm="1">
        <f t="array" ref="K12">INDEX(revenueMatrixNew,($F$5-1)*40+$D12+2,K$7-2024)</f>
        <v>0</v>
      </c>
      <c r="L12" s="301" cm="1">
        <f t="array" ref="L12">INDEX(revenueMatrixNew,($F$5-1)*40+$D12+2,L$7-2024)</f>
        <v>0</v>
      </c>
      <c r="M12" s="301" cm="1">
        <f t="array" ref="M12">INDEX(revenueMatrixNew,($F$5-1)*40+$D12+2,M$7-2024)</f>
        <v>0</v>
      </c>
      <c r="N12" s="301" cm="1">
        <f t="array" ref="N12">INDEX(revenueMatrixNew,($F$5-1)*40+$D12+2,N$7-2024)</f>
        <v>0</v>
      </c>
      <c r="O12" s="301" cm="1">
        <f t="array" ref="O12">INDEX(revenueMatrixNew,($F$5-1)*40+$D12+2,O$7-2024)</f>
        <v>0</v>
      </c>
      <c r="P12" s="301" cm="1">
        <f t="array" ref="P12">INDEX(revenueMatrixNew,($F$5-1)*40+$D12+2,P$7-2024)</f>
        <v>0</v>
      </c>
      <c r="Q12" s="301" cm="1">
        <f t="array" ref="Q12">INDEX(revenueMatrixNew,($F$5-1)*40+$D12+2,Q$7-2024)</f>
        <v>0</v>
      </c>
      <c r="R12" s="301" cm="1">
        <f t="array" ref="R12">INDEX(revenueMatrixNew,($F$5-1)*40+$D12+2,R$7-2024)</f>
        <v>0</v>
      </c>
      <c r="S12" s="301" cm="1">
        <f t="array" ref="S12">INDEX(revenueMatrixNew,($F$5-1)*40+$D12+2,S$7-2024)</f>
        <v>0</v>
      </c>
      <c r="T12" s="301" cm="1">
        <f t="array" ref="T12">INDEX(revenueMatrixNew,($F$5-1)*40+$D12+2,T$7-2024)</f>
        <v>0</v>
      </c>
      <c r="U12" s="301" cm="1">
        <f t="array" ref="U12">INDEX(revenueMatrixNew,($F$5-1)*40+$D12+2,U$7-2024)</f>
        <v>0</v>
      </c>
      <c r="V12" s="301" cm="1">
        <f t="array" ref="V12">INDEX(revenueMatrixNew,($F$5-1)*40+$D12+2,V$7-2024)</f>
        <v>0</v>
      </c>
      <c r="W12" s="301" cm="1">
        <f t="array" ref="W12">INDEX(revenueMatrixNew,($F$5-1)*40+$D12+2,W$7-2024)</f>
        <v>0</v>
      </c>
      <c r="X12" s="301" cm="1">
        <f t="array" ref="X12">INDEX(revenueMatrixNew,($F$5-1)*40+$D12+2,X$7-2024)</f>
        <v>0</v>
      </c>
      <c r="Y12" s="301" cm="1">
        <f t="array" ref="Y12">INDEX(revenueMatrixNew,($F$5-1)*40+$D12+2,Y$7-2024)</f>
        <v>0</v>
      </c>
      <c r="Z12" s="301" cm="1">
        <f t="array" ref="Z12">INDEX(revenueMatrixNew,($F$5-1)*40+$D12+2,Z$7-2024)</f>
        <v>0</v>
      </c>
      <c r="AA12" s="301" cm="1">
        <f t="array" ref="AA12">INDEX(revenueMatrixNew,($F$5-1)*40+$D12+2,AA$7-2024)</f>
        <v>0</v>
      </c>
      <c r="AB12" s="301" cm="1">
        <f t="array" ref="AB12">INDEX(revenueMatrixNew,($F$5-1)*40+$D12+2,AB$7-2024)</f>
        <v>0</v>
      </c>
      <c r="AC12" s="301" cm="1">
        <f t="array" ref="AC12">INDEX(revenueMatrixNew,($F$5-1)*40+$D12+2,AC$7-2024)</f>
        <v>0</v>
      </c>
      <c r="AD12" s="301" cm="1">
        <f t="array" ref="AD12">INDEX(revenueMatrixNew,($F$5-1)*40+$D12+2,AD$7-2024)</f>
        <v>0</v>
      </c>
      <c r="AE12" s="301" cm="1">
        <f t="array" ref="AE12">INDEX(revenueMatrixNew,($F$5-1)*40+$D12+2,AE$7-2024)</f>
        <v>0</v>
      </c>
      <c r="AF12" s="301" cm="1">
        <f t="array" ref="AF12">INDEX(revenueMatrixNew,($F$5-1)*40+$D12+2,AF$7-2024)</f>
        <v>0</v>
      </c>
      <c r="AG12" s="301" cm="1">
        <f t="array" ref="AG12">INDEX(revenueMatrixNew,($F$5-1)*40+$D12+2,AG$7-2024)</f>
        <v>0</v>
      </c>
      <c r="AH12" s="301" cm="1">
        <f t="array" ref="AH12">INDEX(revenueMatrixNew,($F$5-1)*40+$D12+2,AH$7-2024)</f>
        <v>0</v>
      </c>
      <c r="AI12" s="301" cm="1">
        <f t="array" ref="AI12">INDEX(revenueMatrixNew,($F$5-1)*40+$D12+2,AI$7-2024)</f>
        <v>0</v>
      </c>
      <c r="AJ12" s="301" cm="1">
        <f t="array" ref="AJ12">INDEX(revenueMatrixNew,($F$5-1)*40+$D12+2,AJ$7-2024)</f>
        <v>0</v>
      </c>
      <c r="AK12" s="301" cm="1">
        <f t="array" ref="AK12">INDEX(revenueMatrixNew,($F$5-1)*40+$D12+2,AK$7-2024)</f>
        <v>0</v>
      </c>
      <c r="AL12" s="301" cm="1">
        <f t="array" ref="AL12">INDEX(revenueMatrixNew,($F$5-1)*40+$D12+2,AL$7-2024)</f>
        <v>0</v>
      </c>
      <c r="AM12" s="301" cm="1">
        <f t="array" ref="AM12">INDEX(revenueMatrixNew,($F$5-1)*40+$D12+2,AM$7-2024)</f>
        <v>0</v>
      </c>
      <c r="AN12" s="301" cm="1">
        <f t="array" ref="AN12">INDEX(revenueMatrixNew,($F$5-1)*40+$D12+2,AN$7-2024)</f>
        <v>0</v>
      </c>
      <c r="AO12" s="301" cm="1">
        <f t="array" ref="AO12">INDEX(revenueMatrixNew,($F$5-1)*40+$D12+2,AO$7-2024)</f>
        <v>0</v>
      </c>
      <c r="AP12" s="163"/>
    </row>
    <row r="13" spans="1:42" outlineLevel="1" x14ac:dyDescent="0.3">
      <c r="D13" s="627">
        <v>6</v>
      </c>
      <c r="E13" s="628" t="s">
        <v>450</v>
      </c>
      <c r="F13" s="301"/>
      <c r="G13" s="301"/>
      <c r="H13" s="301"/>
      <c r="I13" s="301" cm="1">
        <f t="array" ref="I13">INDEX(revenueMatrixNew,($F$5-1)*40+$D13+2,I$7-2024)</f>
        <v>0</v>
      </c>
      <c r="J13" s="301" cm="1">
        <f t="array" ref="J13">INDEX(revenueMatrixNew,($F$5-1)*40+$D13+2,J$7-2024)</f>
        <v>0</v>
      </c>
      <c r="K13" s="301" cm="1">
        <f t="array" ref="K13">INDEX(revenueMatrixNew,($F$5-1)*40+$D13+2,K$7-2024)</f>
        <v>0</v>
      </c>
      <c r="L13" s="301" cm="1">
        <f t="array" ref="L13">INDEX(revenueMatrixNew,($F$5-1)*40+$D13+2,L$7-2024)</f>
        <v>0</v>
      </c>
      <c r="M13" s="301" cm="1">
        <f t="array" ref="M13">INDEX(revenueMatrixNew,($F$5-1)*40+$D13+2,M$7-2024)</f>
        <v>0</v>
      </c>
      <c r="N13" s="301" cm="1">
        <f t="array" ref="N13">INDEX(revenueMatrixNew,($F$5-1)*40+$D13+2,N$7-2024)</f>
        <v>0</v>
      </c>
      <c r="O13" s="301" cm="1">
        <f t="array" ref="O13">INDEX(revenueMatrixNew,($F$5-1)*40+$D13+2,O$7-2024)</f>
        <v>0</v>
      </c>
      <c r="P13" s="301" cm="1">
        <f t="array" ref="P13">INDEX(revenueMatrixNew,($F$5-1)*40+$D13+2,P$7-2024)</f>
        <v>0</v>
      </c>
      <c r="Q13" s="301" cm="1">
        <f t="array" ref="Q13">INDEX(revenueMatrixNew,($F$5-1)*40+$D13+2,Q$7-2024)</f>
        <v>0</v>
      </c>
      <c r="R13" s="301" cm="1">
        <f t="array" ref="R13">INDEX(revenueMatrixNew,($F$5-1)*40+$D13+2,R$7-2024)</f>
        <v>0</v>
      </c>
      <c r="S13" s="301" cm="1">
        <f t="array" ref="S13">INDEX(revenueMatrixNew,($F$5-1)*40+$D13+2,S$7-2024)</f>
        <v>0</v>
      </c>
      <c r="T13" s="301" cm="1">
        <f t="array" ref="T13">INDEX(revenueMatrixNew,($F$5-1)*40+$D13+2,T$7-2024)</f>
        <v>0</v>
      </c>
      <c r="U13" s="301" cm="1">
        <f t="array" ref="U13">INDEX(revenueMatrixNew,($F$5-1)*40+$D13+2,U$7-2024)</f>
        <v>0</v>
      </c>
      <c r="V13" s="301" cm="1">
        <f t="array" ref="V13">INDEX(revenueMatrixNew,($F$5-1)*40+$D13+2,V$7-2024)</f>
        <v>0</v>
      </c>
      <c r="W13" s="301" cm="1">
        <f t="array" ref="W13">INDEX(revenueMatrixNew,($F$5-1)*40+$D13+2,W$7-2024)</f>
        <v>0</v>
      </c>
      <c r="X13" s="301" cm="1">
        <f t="array" ref="X13">INDEX(revenueMatrixNew,($F$5-1)*40+$D13+2,X$7-2024)</f>
        <v>0</v>
      </c>
      <c r="Y13" s="301" cm="1">
        <f t="array" ref="Y13">INDEX(revenueMatrixNew,($F$5-1)*40+$D13+2,Y$7-2024)</f>
        <v>0</v>
      </c>
      <c r="Z13" s="301" cm="1">
        <f t="array" ref="Z13">INDEX(revenueMatrixNew,($F$5-1)*40+$D13+2,Z$7-2024)</f>
        <v>0</v>
      </c>
      <c r="AA13" s="301" cm="1">
        <f t="array" ref="AA13">INDEX(revenueMatrixNew,($F$5-1)*40+$D13+2,AA$7-2024)</f>
        <v>0</v>
      </c>
      <c r="AB13" s="301" cm="1">
        <f t="array" ref="AB13">INDEX(revenueMatrixNew,($F$5-1)*40+$D13+2,AB$7-2024)</f>
        <v>0</v>
      </c>
      <c r="AC13" s="301" cm="1">
        <f t="array" ref="AC13">INDEX(revenueMatrixNew,($F$5-1)*40+$D13+2,AC$7-2024)</f>
        <v>0</v>
      </c>
      <c r="AD13" s="301" cm="1">
        <f t="array" ref="AD13">INDEX(revenueMatrixNew,($F$5-1)*40+$D13+2,AD$7-2024)</f>
        <v>0</v>
      </c>
      <c r="AE13" s="301" cm="1">
        <f t="array" ref="AE13">INDEX(revenueMatrixNew,($F$5-1)*40+$D13+2,AE$7-2024)</f>
        <v>0</v>
      </c>
      <c r="AF13" s="301" cm="1">
        <f t="array" ref="AF13">INDEX(revenueMatrixNew,($F$5-1)*40+$D13+2,AF$7-2024)</f>
        <v>0</v>
      </c>
      <c r="AG13" s="301" cm="1">
        <f t="array" ref="AG13">INDEX(revenueMatrixNew,($F$5-1)*40+$D13+2,AG$7-2024)</f>
        <v>0</v>
      </c>
      <c r="AH13" s="301" cm="1">
        <f t="array" ref="AH13">INDEX(revenueMatrixNew,($F$5-1)*40+$D13+2,AH$7-2024)</f>
        <v>0</v>
      </c>
      <c r="AI13" s="301" cm="1">
        <f t="array" ref="AI13">INDEX(revenueMatrixNew,($F$5-1)*40+$D13+2,AI$7-2024)</f>
        <v>0</v>
      </c>
      <c r="AJ13" s="301" cm="1">
        <f t="array" ref="AJ13">INDEX(revenueMatrixNew,($F$5-1)*40+$D13+2,AJ$7-2024)</f>
        <v>0</v>
      </c>
      <c r="AK13" s="301" cm="1">
        <f t="array" ref="AK13">INDEX(revenueMatrixNew,($F$5-1)*40+$D13+2,AK$7-2024)</f>
        <v>0</v>
      </c>
      <c r="AL13" s="301" cm="1">
        <f t="array" ref="AL13">INDEX(revenueMatrixNew,($F$5-1)*40+$D13+2,AL$7-2024)</f>
        <v>0</v>
      </c>
      <c r="AM13" s="301" cm="1">
        <f t="array" ref="AM13">INDEX(revenueMatrixNew,($F$5-1)*40+$D13+2,AM$7-2024)</f>
        <v>0</v>
      </c>
      <c r="AN13" s="301" cm="1">
        <f t="array" ref="AN13">INDEX(revenueMatrixNew,($F$5-1)*40+$D13+2,AN$7-2024)</f>
        <v>0</v>
      </c>
      <c r="AO13" s="301" cm="1">
        <f t="array" ref="AO13">INDEX(revenueMatrixNew,($F$5-1)*40+$D13+2,AO$7-2024)</f>
        <v>0</v>
      </c>
      <c r="AP13" s="163"/>
    </row>
    <row r="14" spans="1:42" outlineLevel="1" x14ac:dyDescent="0.3">
      <c r="D14" s="627">
        <v>7</v>
      </c>
      <c r="E14" s="629" t="s">
        <v>447</v>
      </c>
      <c r="F14" s="301"/>
      <c r="G14" s="301"/>
      <c r="H14" s="301"/>
      <c r="I14" s="301" cm="1">
        <f t="array" ref="I14">INDEX(revenueMatrixNew,($F$5-1)*40+$D14+2,I$7-2024)</f>
        <v>0</v>
      </c>
      <c r="J14" s="301" cm="1">
        <f t="array" ref="J14">INDEX(revenueMatrixNew,($F$5-1)*40+$D14+2,J$7-2024)</f>
        <v>0</v>
      </c>
      <c r="K14" s="301" cm="1">
        <f t="array" ref="K14">INDEX(revenueMatrixNew,($F$5-1)*40+$D14+2,K$7-2024)</f>
        <v>0</v>
      </c>
      <c r="L14" s="301" cm="1">
        <f t="array" ref="L14">INDEX(revenueMatrixNew,($F$5-1)*40+$D14+2,L$7-2024)</f>
        <v>0</v>
      </c>
      <c r="M14" s="301" cm="1">
        <f t="array" ref="M14">INDEX(revenueMatrixNew,($F$5-1)*40+$D14+2,M$7-2024)</f>
        <v>0</v>
      </c>
      <c r="N14" s="301" cm="1">
        <f t="array" ref="N14">INDEX(revenueMatrixNew,($F$5-1)*40+$D14+2,N$7-2024)</f>
        <v>0</v>
      </c>
      <c r="O14" s="301" cm="1">
        <f t="array" ref="O14">INDEX(revenueMatrixNew,($F$5-1)*40+$D14+2,O$7-2024)</f>
        <v>0</v>
      </c>
      <c r="P14" s="301" cm="1">
        <f t="array" ref="P14">INDEX(revenueMatrixNew,($F$5-1)*40+$D14+2,P$7-2024)</f>
        <v>0</v>
      </c>
      <c r="Q14" s="301" cm="1">
        <f t="array" ref="Q14">INDEX(revenueMatrixNew,($F$5-1)*40+$D14+2,Q$7-2024)</f>
        <v>0</v>
      </c>
      <c r="R14" s="301" cm="1">
        <f t="array" ref="R14">INDEX(revenueMatrixNew,($F$5-1)*40+$D14+2,R$7-2024)</f>
        <v>0</v>
      </c>
      <c r="S14" s="301" cm="1">
        <f t="array" ref="S14">INDEX(revenueMatrixNew,($F$5-1)*40+$D14+2,S$7-2024)</f>
        <v>0</v>
      </c>
      <c r="T14" s="301" cm="1">
        <f t="array" ref="T14">INDEX(revenueMatrixNew,($F$5-1)*40+$D14+2,T$7-2024)</f>
        <v>0</v>
      </c>
      <c r="U14" s="301" cm="1">
        <f t="array" ref="U14">INDEX(revenueMatrixNew,($F$5-1)*40+$D14+2,U$7-2024)</f>
        <v>0</v>
      </c>
      <c r="V14" s="301" cm="1">
        <f t="array" ref="V14">INDEX(revenueMatrixNew,($F$5-1)*40+$D14+2,V$7-2024)</f>
        <v>0</v>
      </c>
      <c r="W14" s="301" cm="1">
        <f t="array" ref="W14">INDEX(revenueMatrixNew,($F$5-1)*40+$D14+2,W$7-2024)</f>
        <v>0</v>
      </c>
      <c r="X14" s="301" cm="1">
        <f t="array" ref="X14">INDEX(revenueMatrixNew,($F$5-1)*40+$D14+2,X$7-2024)</f>
        <v>0</v>
      </c>
      <c r="Y14" s="301" cm="1">
        <f t="array" ref="Y14">INDEX(revenueMatrixNew,($F$5-1)*40+$D14+2,Y$7-2024)</f>
        <v>0</v>
      </c>
      <c r="Z14" s="301" cm="1">
        <f t="array" ref="Z14">INDEX(revenueMatrixNew,($F$5-1)*40+$D14+2,Z$7-2024)</f>
        <v>0</v>
      </c>
      <c r="AA14" s="301" cm="1">
        <f t="array" ref="AA14">INDEX(revenueMatrixNew,($F$5-1)*40+$D14+2,AA$7-2024)</f>
        <v>0</v>
      </c>
      <c r="AB14" s="301" cm="1">
        <f t="array" ref="AB14">INDEX(revenueMatrixNew,($F$5-1)*40+$D14+2,AB$7-2024)</f>
        <v>0</v>
      </c>
      <c r="AC14" s="301" cm="1">
        <f t="array" ref="AC14">INDEX(revenueMatrixNew,($F$5-1)*40+$D14+2,AC$7-2024)</f>
        <v>0</v>
      </c>
      <c r="AD14" s="301" cm="1">
        <f t="array" ref="AD14">INDEX(revenueMatrixNew,($F$5-1)*40+$D14+2,AD$7-2024)</f>
        <v>0</v>
      </c>
      <c r="AE14" s="301" cm="1">
        <f t="array" ref="AE14">INDEX(revenueMatrixNew,($F$5-1)*40+$D14+2,AE$7-2024)</f>
        <v>0</v>
      </c>
      <c r="AF14" s="301" cm="1">
        <f t="array" ref="AF14">INDEX(revenueMatrixNew,($F$5-1)*40+$D14+2,AF$7-2024)</f>
        <v>0</v>
      </c>
      <c r="AG14" s="301" cm="1">
        <f t="array" ref="AG14">INDEX(revenueMatrixNew,($F$5-1)*40+$D14+2,AG$7-2024)</f>
        <v>0</v>
      </c>
      <c r="AH14" s="301" cm="1">
        <f t="array" ref="AH14">INDEX(revenueMatrixNew,($F$5-1)*40+$D14+2,AH$7-2024)</f>
        <v>0</v>
      </c>
      <c r="AI14" s="301" cm="1">
        <f t="array" ref="AI14">INDEX(revenueMatrixNew,($F$5-1)*40+$D14+2,AI$7-2024)</f>
        <v>0</v>
      </c>
      <c r="AJ14" s="301" cm="1">
        <f t="array" ref="AJ14">INDEX(revenueMatrixNew,($F$5-1)*40+$D14+2,AJ$7-2024)</f>
        <v>0</v>
      </c>
      <c r="AK14" s="301" cm="1">
        <f t="array" ref="AK14">INDEX(revenueMatrixNew,($F$5-1)*40+$D14+2,AK$7-2024)</f>
        <v>0</v>
      </c>
      <c r="AL14" s="301" cm="1">
        <f t="array" ref="AL14">INDEX(revenueMatrixNew,($F$5-1)*40+$D14+2,AL$7-2024)</f>
        <v>0</v>
      </c>
      <c r="AM14" s="301" cm="1">
        <f t="array" ref="AM14">INDEX(revenueMatrixNew,($F$5-1)*40+$D14+2,AM$7-2024)</f>
        <v>0</v>
      </c>
      <c r="AN14" s="301" cm="1">
        <f t="array" ref="AN14">INDEX(revenueMatrixNew,($F$5-1)*40+$D14+2,AN$7-2024)</f>
        <v>0</v>
      </c>
      <c r="AO14" s="301" cm="1">
        <f t="array" ref="AO14">INDEX(revenueMatrixNew,($F$5-1)*40+$D14+2,AO$7-2024)</f>
        <v>0</v>
      </c>
      <c r="AP14" s="163"/>
    </row>
    <row r="15" spans="1:42" outlineLevel="1" x14ac:dyDescent="0.3">
      <c r="D15" s="627">
        <v>8</v>
      </c>
      <c r="E15" s="629" t="s">
        <v>458</v>
      </c>
      <c r="F15" s="301"/>
      <c r="G15" s="301"/>
      <c r="H15" s="301"/>
      <c r="I15" s="301" cm="1">
        <f t="array" ref="I15">INDEX(revenueMatrixNew,($F$5-1)*40+$D15+2,I$7-2024)</f>
        <v>0</v>
      </c>
      <c r="J15" s="301" cm="1">
        <f t="array" ref="J15">INDEX(revenueMatrixNew,($F$5-1)*40+$D15+2,J$7-2024)</f>
        <v>0</v>
      </c>
      <c r="K15" s="301" cm="1">
        <f t="array" ref="K15">INDEX(revenueMatrixNew,($F$5-1)*40+$D15+2,K$7-2024)</f>
        <v>0</v>
      </c>
      <c r="L15" s="301" cm="1">
        <f t="array" ref="L15">INDEX(revenueMatrixNew,($F$5-1)*40+$D15+2,L$7-2024)</f>
        <v>0</v>
      </c>
      <c r="M15" s="301" cm="1">
        <f t="array" ref="M15">INDEX(revenueMatrixNew,($F$5-1)*40+$D15+2,M$7-2024)</f>
        <v>0</v>
      </c>
      <c r="N15" s="301" cm="1">
        <f t="array" ref="N15">INDEX(revenueMatrixNew,($F$5-1)*40+$D15+2,N$7-2024)</f>
        <v>0</v>
      </c>
      <c r="O15" s="301" cm="1">
        <f t="array" ref="O15">INDEX(revenueMatrixNew,($F$5-1)*40+$D15+2,O$7-2024)</f>
        <v>0</v>
      </c>
      <c r="P15" s="301" cm="1">
        <f t="array" ref="P15">INDEX(revenueMatrixNew,($F$5-1)*40+$D15+2,P$7-2024)</f>
        <v>0</v>
      </c>
      <c r="Q15" s="301" cm="1">
        <f t="array" ref="Q15">INDEX(revenueMatrixNew,($F$5-1)*40+$D15+2,Q$7-2024)</f>
        <v>0</v>
      </c>
      <c r="R15" s="301" cm="1">
        <f t="array" ref="R15">INDEX(revenueMatrixNew,($F$5-1)*40+$D15+2,R$7-2024)</f>
        <v>0</v>
      </c>
      <c r="S15" s="301" cm="1">
        <f t="array" ref="S15">INDEX(revenueMatrixNew,($F$5-1)*40+$D15+2,S$7-2024)</f>
        <v>0</v>
      </c>
      <c r="T15" s="301" cm="1">
        <f t="array" ref="T15">INDEX(revenueMatrixNew,($F$5-1)*40+$D15+2,T$7-2024)</f>
        <v>0</v>
      </c>
      <c r="U15" s="301" cm="1">
        <f t="array" ref="U15">INDEX(revenueMatrixNew,($F$5-1)*40+$D15+2,U$7-2024)</f>
        <v>0</v>
      </c>
      <c r="V15" s="301" cm="1">
        <f t="array" ref="V15">INDEX(revenueMatrixNew,($F$5-1)*40+$D15+2,V$7-2024)</f>
        <v>0</v>
      </c>
      <c r="W15" s="301" cm="1">
        <f t="array" ref="W15">INDEX(revenueMatrixNew,($F$5-1)*40+$D15+2,W$7-2024)</f>
        <v>0</v>
      </c>
      <c r="X15" s="301" cm="1">
        <f t="array" ref="X15">INDEX(revenueMatrixNew,($F$5-1)*40+$D15+2,X$7-2024)</f>
        <v>0</v>
      </c>
      <c r="Y15" s="301" cm="1">
        <f t="array" ref="Y15">INDEX(revenueMatrixNew,($F$5-1)*40+$D15+2,Y$7-2024)</f>
        <v>0</v>
      </c>
      <c r="Z15" s="301" cm="1">
        <f t="array" ref="Z15">INDEX(revenueMatrixNew,($F$5-1)*40+$D15+2,Z$7-2024)</f>
        <v>0</v>
      </c>
      <c r="AA15" s="301" cm="1">
        <f t="array" ref="AA15">INDEX(revenueMatrixNew,($F$5-1)*40+$D15+2,AA$7-2024)</f>
        <v>0</v>
      </c>
      <c r="AB15" s="301" cm="1">
        <f t="array" ref="AB15">INDEX(revenueMatrixNew,($F$5-1)*40+$D15+2,AB$7-2024)</f>
        <v>0</v>
      </c>
      <c r="AC15" s="301" cm="1">
        <f t="array" ref="AC15">INDEX(revenueMatrixNew,($F$5-1)*40+$D15+2,AC$7-2024)</f>
        <v>0</v>
      </c>
      <c r="AD15" s="301" cm="1">
        <f t="array" ref="AD15">INDEX(revenueMatrixNew,($F$5-1)*40+$D15+2,AD$7-2024)</f>
        <v>0</v>
      </c>
      <c r="AE15" s="301" cm="1">
        <f t="array" ref="AE15">INDEX(revenueMatrixNew,($F$5-1)*40+$D15+2,AE$7-2024)</f>
        <v>0</v>
      </c>
      <c r="AF15" s="301" cm="1">
        <f t="array" ref="AF15">INDEX(revenueMatrixNew,($F$5-1)*40+$D15+2,AF$7-2024)</f>
        <v>0</v>
      </c>
      <c r="AG15" s="301" cm="1">
        <f t="array" ref="AG15">INDEX(revenueMatrixNew,($F$5-1)*40+$D15+2,AG$7-2024)</f>
        <v>0</v>
      </c>
      <c r="AH15" s="301" cm="1">
        <f t="array" ref="AH15">INDEX(revenueMatrixNew,($F$5-1)*40+$D15+2,AH$7-2024)</f>
        <v>0</v>
      </c>
      <c r="AI15" s="301" cm="1">
        <f t="array" ref="AI15">INDEX(revenueMatrixNew,($F$5-1)*40+$D15+2,AI$7-2024)</f>
        <v>0</v>
      </c>
      <c r="AJ15" s="301" cm="1">
        <f t="array" ref="AJ15">INDEX(revenueMatrixNew,($F$5-1)*40+$D15+2,AJ$7-2024)</f>
        <v>0</v>
      </c>
      <c r="AK15" s="301" cm="1">
        <f t="array" ref="AK15">INDEX(revenueMatrixNew,($F$5-1)*40+$D15+2,AK$7-2024)</f>
        <v>0</v>
      </c>
      <c r="AL15" s="301" cm="1">
        <f t="array" ref="AL15">INDEX(revenueMatrixNew,($F$5-1)*40+$D15+2,AL$7-2024)</f>
        <v>0</v>
      </c>
      <c r="AM15" s="301" cm="1">
        <f t="array" ref="AM15">INDEX(revenueMatrixNew,($F$5-1)*40+$D15+2,AM$7-2024)</f>
        <v>0</v>
      </c>
      <c r="AN15" s="301" cm="1">
        <f t="array" ref="AN15">INDEX(revenueMatrixNew,($F$5-1)*40+$D15+2,AN$7-2024)</f>
        <v>0</v>
      </c>
      <c r="AO15" s="301" cm="1">
        <f t="array" ref="AO15">INDEX(revenueMatrixNew,($F$5-1)*40+$D15+2,AO$7-2024)</f>
        <v>0</v>
      </c>
      <c r="AP15" s="163"/>
    </row>
    <row r="16" spans="1:42" outlineLevel="1" x14ac:dyDescent="0.3">
      <c r="D16" s="627">
        <v>9</v>
      </c>
      <c r="E16" s="629" t="s">
        <v>446</v>
      </c>
      <c r="F16" s="301"/>
      <c r="G16" s="301"/>
      <c r="H16" s="301"/>
      <c r="I16" s="301" cm="1">
        <f t="array" ref="I16">INDEX(revenueMatrixNew,($F$5-1)*40+$D16+2,I$7-2024)</f>
        <v>0</v>
      </c>
      <c r="J16" s="301" cm="1">
        <f t="array" ref="J16">INDEX(revenueMatrixNew,($F$5-1)*40+$D16+2,J$7-2024)</f>
        <v>0</v>
      </c>
      <c r="K16" s="301" cm="1">
        <f t="array" ref="K16">INDEX(revenueMatrixNew,($F$5-1)*40+$D16+2,K$7-2024)</f>
        <v>0</v>
      </c>
      <c r="L16" s="301" cm="1">
        <f t="array" ref="L16">INDEX(revenueMatrixNew,($F$5-1)*40+$D16+2,L$7-2024)</f>
        <v>0</v>
      </c>
      <c r="M16" s="301" cm="1">
        <f t="array" ref="M16">INDEX(revenueMatrixNew,($F$5-1)*40+$D16+2,M$7-2024)</f>
        <v>0</v>
      </c>
      <c r="N16" s="301" cm="1">
        <f t="array" ref="N16">INDEX(revenueMatrixNew,($F$5-1)*40+$D16+2,N$7-2024)</f>
        <v>0</v>
      </c>
      <c r="O16" s="301" cm="1">
        <f t="array" ref="O16">INDEX(revenueMatrixNew,($F$5-1)*40+$D16+2,O$7-2024)</f>
        <v>0</v>
      </c>
      <c r="P16" s="301" cm="1">
        <f t="array" ref="P16">INDEX(revenueMatrixNew,($F$5-1)*40+$D16+2,P$7-2024)</f>
        <v>0</v>
      </c>
      <c r="Q16" s="301" cm="1">
        <f t="array" ref="Q16">INDEX(revenueMatrixNew,($F$5-1)*40+$D16+2,Q$7-2024)</f>
        <v>0</v>
      </c>
      <c r="R16" s="301" cm="1">
        <f t="array" ref="R16">INDEX(revenueMatrixNew,($F$5-1)*40+$D16+2,R$7-2024)</f>
        <v>0</v>
      </c>
      <c r="S16" s="301" cm="1">
        <f t="array" ref="S16">INDEX(revenueMatrixNew,($F$5-1)*40+$D16+2,S$7-2024)</f>
        <v>0</v>
      </c>
      <c r="T16" s="301" cm="1">
        <f t="array" ref="T16">INDEX(revenueMatrixNew,($F$5-1)*40+$D16+2,T$7-2024)</f>
        <v>0</v>
      </c>
      <c r="U16" s="301" cm="1">
        <f t="array" ref="U16">INDEX(revenueMatrixNew,($F$5-1)*40+$D16+2,U$7-2024)</f>
        <v>0</v>
      </c>
      <c r="V16" s="301" cm="1">
        <f t="array" ref="V16">INDEX(revenueMatrixNew,($F$5-1)*40+$D16+2,V$7-2024)</f>
        <v>0</v>
      </c>
      <c r="W16" s="301" cm="1">
        <f t="array" ref="W16">INDEX(revenueMatrixNew,($F$5-1)*40+$D16+2,W$7-2024)</f>
        <v>0</v>
      </c>
      <c r="X16" s="301" cm="1">
        <f t="array" ref="X16">INDEX(revenueMatrixNew,($F$5-1)*40+$D16+2,X$7-2024)</f>
        <v>0</v>
      </c>
      <c r="Y16" s="301" cm="1">
        <f t="array" ref="Y16">INDEX(revenueMatrixNew,($F$5-1)*40+$D16+2,Y$7-2024)</f>
        <v>0</v>
      </c>
      <c r="Z16" s="301" cm="1">
        <f t="array" ref="Z16">INDEX(revenueMatrixNew,($F$5-1)*40+$D16+2,Z$7-2024)</f>
        <v>0</v>
      </c>
      <c r="AA16" s="301" cm="1">
        <f t="array" ref="AA16">INDEX(revenueMatrixNew,($F$5-1)*40+$D16+2,AA$7-2024)</f>
        <v>0</v>
      </c>
      <c r="AB16" s="301" cm="1">
        <f t="array" ref="AB16">INDEX(revenueMatrixNew,($F$5-1)*40+$D16+2,AB$7-2024)</f>
        <v>0</v>
      </c>
      <c r="AC16" s="301" cm="1">
        <f t="array" ref="AC16">INDEX(revenueMatrixNew,($F$5-1)*40+$D16+2,AC$7-2024)</f>
        <v>0</v>
      </c>
      <c r="AD16" s="301" cm="1">
        <f t="array" ref="AD16">INDEX(revenueMatrixNew,($F$5-1)*40+$D16+2,AD$7-2024)</f>
        <v>0</v>
      </c>
      <c r="AE16" s="301" cm="1">
        <f t="array" ref="AE16">INDEX(revenueMatrixNew,($F$5-1)*40+$D16+2,AE$7-2024)</f>
        <v>0</v>
      </c>
      <c r="AF16" s="301" cm="1">
        <f t="array" ref="AF16">INDEX(revenueMatrixNew,($F$5-1)*40+$D16+2,AF$7-2024)</f>
        <v>0</v>
      </c>
      <c r="AG16" s="301" cm="1">
        <f t="array" ref="AG16">INDEX(revenueMatrixNew,($F$5-1)*40+$D16+2,AG$7-2024)</f>
        <v>0</v>
      </c>
      <c r="AH16" s="301" cm="1">
        <f t="array" ref="AH16">INDEX(revenueMatrixNew,($F$5-1)*40+$D16+2,AH$7-2024)</f>
        <v>0</v>
      </c>
      <c r="AI16" s="301" cm="1">
        <f t="array" ref="AI16">INDEX(revenueMatrixNew,($F$5-1)*40+$D16+2,AI$7-2024)</f>
        <v>0</v>
      </c>
      <c r="AJ16" s="301" cm="1">
        <f t="array" ref="AJ16">INDEX(revenueMatrixNew,($F$5-1)*40+$D16+2,AJ$7-2024)</f>
        <v>0</v>
      </c>
      <c r="AK16" s="301" cm="1">
        <f t="array" ref="AK16">INDEX(revenueMatrixNew,($F$5-1)*40+$D16+2,AK$7-2024)</f>
        <v>0</v>
      </c>
      <c r="AL16" s="301" cm="1">
        <f t="array" ref="AL16">INDEX(revenueMatrixNew,($F$5-1)*40+$D16+2,AL$7-2024)</f>
        <v>0</v>
      </c>
      <c r="AM16" s="301" cm="1">
        <f t="array" ref="AM16">INDEX(revenueMatrixNew,($F$5-1)*40+$D16+2,AM$7-2024)</f>
        <v>0</v>
      </c>
      <c r="AN16" s="301" cm="1">
        <f t="array" ref="AN16">INDEX(revenueMatrixNew,($F$5-1)*40+$D16+2,AN$7-2024)</f>
        <v>0</v>
      </c>
      <c r="AO16" s="301" cm="1">
        <f t="array" ref="AO16">INDEX(revenueMatrixNew,($F$5-1)*40+$D16+2,AO$7-2024)</f>
        <v>0</v>
      </c>
      <c r="AP16" s="163"/>
    </row>
    <row r="17" spans="2:42" outlineLevel="1" x14ac:dyDescent="0.3">
      <c r="D17" s="627">
        <v>10</v>
      </c>
      <c r="E17" s="628" t="s">
        <v>438</v>
      </c>
      <c r="F17" s="301"/>
      <c r="G17" s="301"/>
      <c r="H17" s="301"/>
      <c r="I17" s="301" cm="1">
        <f t="array" ref="I17">INDEX(revenueMatrixNew,($F$5-1)*40+$D17+2,I$7-2024)</f>
        <v>319.28756479459946</v>
      </c>
      <c r="J17" s="301" cm="1">
        <f t="array" ref="J17">INDEX(revenueMatrixNew,($F$5-1)*40+$D17+2,J$7-2024)</f>
        <v>296.09913291968599</v>
      </c>
      <c r="K17" s="301" cm="1">
        <f t="array" ref="K17">INDEX(revenueMatrixNew,($F$5-1)*40+$D17+2,K$7-2024)</f>
        <v>317.96640465024109</v>
      </c>
      <c r="L17" s="301" cm="1">
        <f t="array" ref="L17">INDEX(revenueMatrixNew,($F$5-1)*40+$D17+2,L$7-2024)</f>
        <v>338.68187496330421</v>
      </c>
      <c r="M17" s="301" cm="1">
        <f t="array" ref="M17">INDEX(revenueMatrixNew,($F$5-1)*40+$D17+2,M$7-2024)</f>
        <v>346.02476334262559</v>
      </c>
      <c r="N17" s="301" cm="1">
        <f t="array" ref="N17">INDEX(revenueMatrixNew,($F$5-1)*40+$D17+2,N$7-2024)</f>
        <v>352.54044767348444</v>
      </c>
      <c r="O17" s="301" cm="1">
        <f t="array" ref="O17">INDEX(revenueMatrixNew,($F$5-1)*40+$D17+2,O$7-2024)</f>
        <v>359.05613200434328</v>
      </c>
      <c r="P17" s="301" cm="1">
        <f t="array" ref="P17">INDEX(revenueMatrixNew,($F$5-1)*40+$D17+2,P$7-2024)</f>
        <v>365.57181633520213</v>
      </c>
      <c r="Q17" s="301" cm="1">
        <f t="array" ref="Q17">INDEX(revenueMatrixNew,($F$5-1)*40+$D17+2,Q$7-2024)</f>
        <v>372.08750066606098</v>
      </c>
      <c r="R17" s="301" cm="1">
        <f t="array" ref="R17">INDEX(revenueMatrixNew,($F$5-1)*40+$D17+2,R$7-2024)</f>
        <v>378.60318499691988</v>
      </c>
      <c r="S17" s="301" cm="1">
        <f t="array" ref="S17">INDEX(revenueMatrixNew,($F$5-1)*40+$D17+2,S$7-2024)</f>
        <v>400.48421245641009</v>
      </c>
      <c r="T17" s="301" cm="1">
        <f t="array" ref="T17">INDEX(revenueMatrixNew,($F$5-1)*40+$D17+2,T$7-2024)</f>
        <v>422.3652399159003</v>
      </c>
      <c r="U17" s="301" cm="1">
        <f t="array" ref="U17">INDEX(revenueMatrixNew,($F$5-1)*40+$D17+2,U$7-2024)</f>
        <v>444.24626737539052</v>
      </c>
      <c r="V17" s="301" cm="1">
        <f t="array" ref="V17">INDEX(revenueMatrixNew,($F$5-1)*40+$D17+2,V$7-2024)</f>
        <v>466.12729483488073</v>
      </c>
      <c r="W17" s="301" cm="1">
        <f t="array" ref="W17">INDEX(revenueMatrixNew,($F$5-1)*40+$D17+2,W$7-2024)</f>
        <v>488.00832229437106</v>
      </c>
      <c r="X17" s="301" cm="1">
        <f t="array" ref="X17">INDEX(revenueMatrixNew,($F$5-1)*40+$D17+2,X$7-2024)</f>
        <v>501.72759071026144</v>
      </c>
      <c r="Y17" s="301" cm="1">
        <f t="array" ref="Y17">INDEX(revenueMatrixNew,($F$5-1)*40+$D17+2,Y$7-2024)</f>
        <v>515.44685912615182</v>
      </c>
      <c r="Z17" s="301" cm="1">
        <f t="array" ref="Z17">INDEX(revenueMatrixNew,($F$5-1)*40+$D17+2,Z$7-2024)</f>
        <v>529.1661275420422</v>
      </c>
      <c r="AA17" s="301" cm="1">
        <f t="array" ref="AA17">INDEX(revenueMatrixNew,($F$5-1)*40+$D17+2,AA$7-2024)</f>
        <v>542.88539595793259</v>
      </c>
      <c r="AB17" s="301" cm="1">
        <f t="array" ref="AB17">INDEX(revenueMatrixNew,($F$5-1)*40+$D17+2,AB$7-2024)</f>
        <v>556.60466437382297</v>
      </c>
      <c r="AC17" s="301" cm="1">
        <f t="array" ref="AC17">INDEX(revenueMatrixNew,($F$5-1)*40+$D17+2,AC$7-2024)</f>
        <v>0</v>
      </c>
      <c r="AD17" s="301" cm="1">
        <f t="array" ref="AD17">INDEX(revenueMatrixNew,($F$5-1)*40+$D17+2,AD$7-2024)</f>
        <v>0</v>
      </c>
      <c r="AE17" s="301" cm="1">
        <f t="array" ref="AE17">INDEX(revenueMatrixNew,($F$5-1)*40+$D17+2,AE$7-2024)</f>
        <v>0</v>
      </c>
      <c r="AF17" s="301" cm="1">
        <f t="array" ref="AF17">INDEX(revenueMatrixNew,($F$5-1)*40+$D17+2,AF$7-2024)</f>
        <v>0</v>
      </c>
      <c r="AG17" s="301" cm="1">
        <f t="array" ref="AG17">INDEX(revenueMatrixNew,($F$5-1)*40+$D17+2,AG$7-2024)</f>
        <v>0</v>
      </c>
      <c r="AH17" s="301" cm="1">
        <f t="array" ref="AH17">INDEX(revenueMatrixNew,($F$5-1)*40+$D17+2,AH$7-2024)</f>
        <v>0</v>
      </c>
      <c r="AI17" s="301" cm="1">
        <f t="array" ref="AI17">INDEX(revenueMatrixNew,($F$5-1)*40+$D17+2,AI$7-2024)</f>
        <v>0</v>
      </c>
      <c r="AJ17" s="301" cm="1">
        <f t="array" ref="AJ17">INDEX(revenueMatrixNew,($F$5-1)*40+$D17+2,AJ$7-2024)</f>
        <v>0</v>
      </c>
      <c r="AK17" s="301" cm="1">
        <f t="array" ref="AK17">INDEX(revenueMatrixNew,($F$5-1)*40+$D17+2,AK$7-2024)</f>
        <v>0</v>
      </c>
      <c r="AL17" s="301" cm="1">
        <f t="array" ref="AL17">INDEX(revenueMatrixNew,($F$5-1)*40+$D17+2,AL$7-2024)</f>
        <v>0</v>
      </c>
      <c r="AM17" s="301" cm="1">
        <f t="array" ref="AM17">INDEX(revenueMatrixNew,($F$5-1)*40+$D17+2,AM$7-2024)</f>
        <v>0</v>
      </c>
      <c r="AN17" s="301" cm="1">
        <f t="array" ref="AN17">INDEX(revenueMatrixNew,($F$5-1)*40+$D17+2,AN$7-2024)</f>
        <v>0</v>
      </c>
      <c r="AO17" s="301" cm="1">
        <f t="array" ref="AO17">INDEX(revenueMatrixNew,($F$5-1)*40+$D17+2,AO$7-2024)</f>
        <v>0</v>
      </c>
      <c r="AP17" s="163"/>
    </row>
    <row r="18" spans="2:42" outlineLevel="1" x14ac:dyDescent="0.3">
      <c r="D18" s="627">
        <v>11</v>
      </c>
      <c r="E18" s="629" t="s">
        <v>439</v>
      </c>
      <c r="F18" s="301"/>
      <c r="G18" s="301"/>
      <c r="H18" s="301"/>
      <c r="I18" s="301" cm="1">
        <f t="array" ref="I18">INDEX(revenueMatrixNew,($F$5-1)*40+$D18+2,I$7-2024)</f>
        <v>0</v>
      </c>
      <c r="J18" s="301" cm="1">
        <f t="array" ref="J18">INDEX(revenueMatrixNew,($F$5-1)*40+$D18+2,J$7-2024)</f>
        <v>0</v>
      </c>
      <c r="K18" s="301" cm="1">
        <f t="array" ref="K18">INDEX(revenueMatrixNew,($F$5-1)*40+$D18+2,K$7-2024)</f>
        <v>0</v>
      </c>
      <c r="L18" s="301" cm="1">
        <f t="array" ref="L18">INDEX(revenueMatrixNew,($F$5-1)*40+$D18+2,L$7-2024)</f>
        <v>0</v>
      </c>
      <c r="M18" s="301" cm="1">
        <f t="array" ref="M18">INDEX(revenueMatrixNew,($F$5-1)*40+$D18+2,M$7-2024)</f>
        <v>0</v>
      </c>
      <c r="N18" s="301" cm="1">
        <f t="array" ref="N18">INDEX(revenueMatrixNew,($F$5-1)*40+$D18+2,N$7-2024)</f>
        <v>0</v>
      </c>
      <c r="O18" s="301" cm="1">
        <f t="array" ref="O18">INDEX(revenueMatrixNew,($F$5-1)*40+$D18+2,O$7-2024)</f>
        <v>0</v>
      </c>
      <c r="P18" s="301" cm="1">
        <f t="array" ref="P18">INDEX(revenueMatrixNew,($F$5-1)*40+$D18+2,P$7-2024)</f>
        <v>0</v>
      </c>
      <c r="Q18" s="301" cm="1">
        <f t="array" ref="Q18">INDEX(revenueMatrixNew,($F$5-1)*40+$D18+2,Q$7-2024)</f>
        <v>0</v>
      </c>
      <c r="R18" s="301" cm="1">
        <f t="array" ref="R18">INDEX(revenueMatrixNew,($F$5-1)*40+$D18+2,R$7-2024)</f>
        <v>0</v>
      </c>
      <c r="S18" s="301" cm="1">
        <f t="array" ref="S18">INDEX(revenueMatrixNew,($F$5-1)*40+$D18+2,S$7-2024)</f>
        <v>0</v>
      </c>
      <c r="T18" s="301" cm="1">
        <f t="array" ref="T18">INDEX(revenueMatrixNew,($F$5-1)*40+$D18+2,T$7-2024)</f>
        <v>0</v>
      </c>
      <c r="U18" s="301" cm="1">
        <f t="array" ref="U18">INDEX(revenueMatrixNew,($F$5-1)*40+$D18+2,U$7-2024)</f>
        <v>0</v>
      </c>
      <c r="V18" s="301" cm="1">
        <f t="array" ref="V18">INDEX(revenueMatrixNew,($F$5-1)*40+$D18+2,V$7-2024)</f>
        <v>0</v>
      </c>
      <c r="W18" s="301" cm="1">
        <f t="array" ref="W18">INDEX(revenueMatrixNew,($F$5-1)*40+$D18+2,W$7-2024)</f>
        <v>0</v>
      </c>
      <c r="X18" s="301" cm="1">
        <f t="array" ref="X18">INDEX(revenueMatrixNew,($F$5-1)*40+$D18+2,X$7-2024)</f>
        <v>0</v>
      </c>
      <c r="Y18" s="301" cm="1">
        <f t="array" ref="Y18">INDEX(revenueMatrixNew,($F$5-1)*40+$D18+2,Y$7-2024)</f>
        <v>0</v>
      </c>
      <c r="Z18" s="301" cm="1">
        <f t="array" ref="Z18">INDEX(revenueMatrixNew,($F$5-1)*40+$D18+2,Z$7-2024)</f>
        <v>0</v>
      </c>
      <c r="AA18" s="301" cm="1">
        <f t="array" ref="AA18">INDEX(revenueMatrixNew,($F$5-1)*40+$D18+2,AA$7-2024)</f>
        <v>0</v>
      </c>
      <c r="AB18" s="301" cm="1">
        <f t="array" ref="AB18">INDEX(revenueMatrixNew,($F$5-1)*40+$D18+2,AB$7-2024)</f>
        <v>0</v>
      </c>
      <c r="AC18" s="301" cm="1">
        <f t="array" ref="AC18">INDEX(revenueMatrixNew,($F$5-1)*40+$D18+2,AC$7-2024)</f>
        <v>0</v>
      </c>
      <c r="AD18" s="301" cm="1">
        <f t="array" ref="AD18">INDEX(revenueMatrixNew,($F$5-1)*40+$D18+2,AD$7-2024)</f>
        <v>0</v>
      </c>
      <c r="AE18" s="301" cm="1">
        <f t="array" ref="AE18">INDEX(revenueMatrixNew,($F$5-1)*40+$D18+2,AE$7-2024)</f>
        <v>0</v>
      </c>
      <c r="AF18" s="301" cm="1">
        <f t="array" ref="AF18">INDEX(revenueMatrixNew,($F$5-1)*40+$D18+2,AF$7-2024)</f>
        <v>0</v>
      </c>
      <c r="AG18" s="301" cm="1">
        <f t="array" ref="AG18">INDEX(revenueMatrixNew,($F$5-1)*40+$D18+2,AG$7-2024)</f>
        <v>0</v>
      </c>
      <c r="AH18" s="301" cm="1">
        <f t="array" ref="AH18">INDEX(revenueMatrixNew,($F$5-1)*40+$D18+2,AH$7-2024)</f>
        <v>0</v>
      </c>
      <c r="AI18" s="301" cm="1">
        <f t="array" ref="AI18">INDEX(revenueMatrixNew,($F$5-1)*40+$D18+2,AI$7-2024)</f>
        <v>0</v>
      </c>
      <c r="AJ18" s="301" cm="1">
        <f t="array" ref="AJ18">INDEX(revenueMatrixNew,($F$5-1)*40+$D18+2,AJ$7-2024)</f>
        <v>0</v>
      </c>
      <c r="AK18" s="301" cm="1">
        <f t="array" ref="AK18">INDEX(revenueMatrixNew,($F$5-1)*40+$D18+2,AK$7-2024)</f>
        <v>0</v>
      </c>
      <c r="AL18" s="301" cm="1">
        <f t="array" ref="AL18">INDEX(revenueMatrixNew,($F$5-1)*40+$D18+2,AL$7-2024)</f>
        <v>0</v>
      </c>
      <c r="AM18" s="301" cm="1">
        <f t="array" ref="AM18">INDEX(revenueMatrixNew,($F$5-1)*40+$D18+2,AM$7-2024)</f>
        <v>0</v>
      </c>
      <c r="AN18" s="301" cm="1">
        <f t="array" ref="AN18">INDEX(revenueMatrixNew,($F$5-1)*40+$D18+2,AN$7-2024)</f>
        <v>0</v>
      </c>
      <c r="AO18" s="301" cm="1">
        <f t="array" ref="AO18">INDEX(revenueMatrixNew,($F$5-1)*40+$D18+2,AO$7-2024)</f>
        <v>0</v>
      </c>
      <c r="AP18" s="163"/>
    </row>
    <row r="19" spans="2:42" outlineLevel="1" x14ac:dyDescent="0.3">
      <c r="D19" s="627">
        <v>12</v>
      </c>
      <c r="E19" s="629" t="s">
        <v>456</v>
      </c>
      <c r="F19" s="301"/>
      <c r="G19" s="301"/>
      <c r="H19" s="301"/>
      <c r="I19" s="301" cm="1">
        <f t="array" ref="I19">INDEX(revenueMatrixNew,($F$5-1)*40+$D19+2,I$7-2024)</f>
        <v>0</v>
      </c>
      <c r="J19" s="301" cm="1">
        <f t="array" ref="J19">INDEX(revenueMatrixNew,($F$5-1)*40+$D19+2,J$7-2024)</f>
        <v>0</v>
      </c>
      <c r="K19" s="301" cm="1">
        <f t="array" ref="K19">INDEX(revenueMatrixNew,($F$5-1)*40+$D19+2,K$7-2024)</f>
        <v>0</v>
      </c>
      <c r="L19" s="301" cm="1">
        <f t="array" ref="L19">INDEX(revenueMatrixNew,($F$5-1)*40+$D19+2,L$7-2024)</f>
        <v>0</v>
      </c>
      <c r="M19" s="301" cm="1">
        <f t="array" ref="M19">INDEX(revenueMatrixNew,($F$5-1)*40+$D19+2,M$7-2024)</f>
        <v>0</v>
      </c>
      <c r="N19" s="301" cm="1">
        <f t="array" ref="N19">INDEX(revenueMatrixNew,($F$5-1)*40+$D19+2,N$7-2024)</f>
        <v>0</v>
      </c>
      <c r="O19" s="301" cm="1">
        <f t="array" ref="O19">INDEX(revenueMatrixNew,($F$5-1)*40+$D19+2,O$7-2024)</f>
        <v>0</v>
      </c>
      <c r="P19" s="301" cm="1">
        <f t="array" ref="P19">INDEX(revenueMatrixNew,($F$5-1)*40+$D19+2,P$7-2024)</f>
        <v>0</v>
      </c>
      <c r="Q19" s="301" cm="1">
        <f t="array" ref="Q19">INDEX(revenueMatrixNew,($F$5-1)*40+$D19+2,Q$7-2024)</f>
        <v>0</v>
      </c>
      <c r="R19" s="301" cm="1">
        <f t="array" ref="R19">INDEX(revenueMatrixNew,($F$5-1)*40+$D19+2,R$7-2024)</f>
        <v>0</v>
      </c>
      <c r="S19" s="301" cm="1">
        <f t="array" ref="S19">INDEX(revenueMatrixNew,($F$5-1)*40+$D19+2,S$7-2024)</f>
        <v>0</v>
      </c>
      <c r="T19" s="301" cm="1">
        <f t="array" ref="T19">INDEX(revenueMatrixNew,($F$5-1)*40+$D19+2,T$7-2024)</f>
        <v>0</v>
      </c>
      <c r="U19" s="301" cm="1">
        <f t="array" ref="U19">INDEX(revenueMatrixNew,($F$5-1)*40+$D19+2,U$7-2024)</f>
        <v>0</v>
      </c>
      <c r="V19" s="301" cm="1">
        <f t="array" ref="V19">INDEX(revenueMatrixNew,($F$5-1)*40+$D19+2,V$7-2024)</f>
        <v>0</v>
      </c>
      <c r="W19" s="301" cm="1">
        <f t="array" ref="W19">INDEX(revenueMatrixNew,($F$5-1)*40+$D19+2,W$7-2024)</f>
        <v>0</v>
      </c>
      <c r="X19" s="301" cm="1">
        <f t="array" ref="X19">INDEX(revenueMatrixNew,($F$5-1)*40+$D19+2,X$7-2024)</f>
        <v>0</v>
      </c>
      <c r="Y19" s="301" cm="1">
        <f t="array" ref="Y19">INDEX(revenueMatrixNew,($F$5-1)*40+$D19+2,Y$7-2024)</f>
        <v>0</v>
      </c>
      <c r="Z19" s="301" cm="1">
        <f t="array" ref="Z19">INDEX(revenueMatrixNew,($F$5-1)*40+$D19+2,Z$7-2024)</f>
        <v>0</v>
      </c>
      <c r="AA19" s="301" cm="1">
        <f t="array" ref="AA19">INDEX(revenueMatrixNew,($F$5-1)*40+$D19+2,AA$7-2024)</f>
        <v>0</v>
      </c>
      <c r="AB19" s="301"/>
      <c r="AC19" s="301"/>
      <c r="AD19" s="301"/>
      <c r="AE19" s="301"/>
      <c r="AF19" s="301"/>
      <c r="AG19" s="301"/>
      <c r="AH19" s="301"/>
      <c r="AI19" s="301"/>
      <c r="AJ19" s="301"/>
      <c r="AK19" s="301"/>
      <c r="AL19" s="301"/>
      <c r="AM19" s="301"/>
      <c r="AN19" s="301"/>
      <c r="AO19" s="301"/>
      <c r="AP19" s="163"/>
    </row>
    <row r="20" spans="2:42" outlineLevel="1" x14ac:dyDescent="0.3">
      <c r="D20" s="627">
        <v>13</v>
      </c>
      <c r="E20" s="629" t="s">
        <v>432</v>
      </c>
      <c r="F20" s="301"/>
      <c r="G20" s="301"/>
      <c r="H20" s="301"/>
      <c r="I20" s="301" cm="1">
        <f t="array" ref="I20">INDEX(revenueMatrixNew,($F$5-1)*40+$D20+2,I$7-2024)</f>
        <v>364.57937608314802</v>
      </c>
      <c r="J20" s="301" cm="1">
        <f t="array" ref="J20">INDEX(revenueMatrixNew,($F$5-1)*40+$D20+2,J$7-2024)</f>
        <v>364.57937608314802</v>
      </c>
      <c r="K20" s="301" cm="1">
        <f t="array" ref="K20">INDEX(revenueMatrixNew,($F$5-1)*40+$D20+2,K$7-2024)</f>
        <v>291.6635008665184</v>
      </c>
      <c r="L20" s="301" cm="1">
        <f t="array" ref="L20">INDEX(revenueMatrixNew,($F$5-1)*40+$D20+2,L$7-2024)</f>
        <v>291.6635008665184</v>
      </c>
      <c r="M20" s="301" cm="1">
        <f t="array" ref="M20">INDEX(revenueMatrixNew,($F$5-1)*40+$D20+2,M$7-2024)</f>
        <v>291.6635008665184</v>
      </c>
      <c r="N20" s="301" cm="1">
        <f t="array" ref="N20">INDEX(revenueMatrixNew,($F$5-1)*40+$D20+2,N$7-2024)</f>
        <v>291.6635008665184</v>
      </c>
      <c r="O20" s="301" cm="1">
        <f t="array" ref="O20">INDEX(revenueMatrixNew,($F$5-1)*40+$D20+2,O$7-2024)</f>
        <v>291.6635008665184</v>
      </c>
      <c r="P20" s="301" cm="1">
        <f t="array" ref="P20">INDEX(revenueMatrixNew,($F$5-1)*40+$D20+2,P$7-2024)</f>
        <v>291.6635008665184</v>
      </c>
      <c r="Q20" s="301" cm="1">
        <f t="array" ref="Q20">INDEX(revenueMatrixNew,($F$5-1)*40+$D20+2,Q$7-2024)</f>
        <v>291.6635008665184</v>
      </c>
      <c r="R20" s="301" cm="1">
        <f t="array" ref="R20">INDEX(revenueMatrixNew,($F$5-1)*40+$D20+2,R$7-2024)</f>
        <v>291.6635008665184</v>
      </c>
      <c r="S20" s="301" cm="1">
        <f t="array" ref="S20">INDEX(revenueMatrixNew,($F$5-1)*40+$D20+2,S$7-2024)</f>
        <v>300.36661668606462</v>
      </c>
      <c r="T20" s="301" cm="1">
        <f t="array" ref="T20">INDEX(revenueMatrixNew,($F$5-1)*40+$D20+2,T$7-2024)</f>
        <v>309.06973250561083</v>
      </c>
      <c r="U20" s="301" cm="1">
        <f t="array" ref="U20">INDEX(revenueMatrixNew,($F$5-1)*40+$D20+2,U$7-2024)</f>
        <v>317.77284832515704</v>
      </c>
      <c r="V20" s="301" cm="1">
        <f t="array" ref="V20">INDEX(revenueMatrixNew,($F$5-1)*40+$D20+2,V$7-2024)</f>
        <v>326.47596414470325</v>
      </c>
      <c r="W20" s="301" cm="1">
        <f t="array" ref="W20">INDEX(revenueMatrixNew,($F$5-1)*40+$D20+2,W$7-2024)</f>
        <v>335.17907996424947</v>
      </c>
      <c r="X20" s="301" cm="1">
        <f t="array" ref="X20">INDEX(revenueMatrixNew,($F$5-1)*40+$D20+2,X$7-2024)</f>
        <v>344.50751859096465</v>
      </c>
      <c r="Y20" s="301" cm="1">
        <f t="array" ref="Y20">INDEX(revenueMatrixNew,($F$5-1)*40+$D20+2,Y$7-2024)</f>
        <v>353.83595721767983</v>
      </c>
      <c r="Z20" s="301" cm="1">
        <f t="array" ref="Z20">INDEX(revenueMatrixNew,($F$5-1)*40+$D20+2,Z$7-2024)</f>
        <v>363.16439584439507</v>
      </c>
      <c r="AA20" s="301" cm="1">
        <f t="array" ref="AA20">INDEX(revenueMatrixNew,($F$5-1)*40+$D20+2,AA$7-2024)</f>
        <v>372.49283447111026</v>
      </c>
      <c r="AB20" s="301" cm="1">
        <f t="array" ref="AB20">INDEX(revenueMatrixNew,($F$5-1)*40+$D20+2,AB$7-2024)</f>
        <v>381.82127309782544</v>
      </c>
      <c r="AC20" s="301" cm="1">
        <f t="array" ref="AC20">INDEX(revenueMatrixNew,($F$5-1)*40+$D20+2,AC$7-2024)</f>
        <v>0</v>
      </c>
      <c r="AD20" s="301" cm="1">
        <f t="array" ref="AD20">INDEX(revenueMatrixNew,($F$5-1)*40+$D20+2,AD$7-2024)</f>
        <v>0</v>
      </c>
      <c r="AE20" s="301" cm="1">
        <f t="array" ref="AE20">INDEX(revenueMatrixNew,($F$5-1)*40+$D20+2,AE$7-2024)</f>
        <v>0</v>
      </c>
      <c r="AF20" s="301" cm="1">
        <f t="array" ref="AF20">INDEX(revenueMatrixNew,($F$5-1)*40+$D20+2,AF$7-2024)</f>
        <v>0</v>
      </c>
      <c r="AG20" s="301" cm="1">
        <f t="array" ref="AG20">INDEX(revenueMatrixNew,($F$5-1)*40+$D20+2,AG$7-2024)</f>
        <v>0</v>
      </c>
      <c r="AH20" s="301" cm="1">
        <f t="array" ref="AH20">INDEX(revenueMatrixNew,($F$5-1)*40+$D20+2,AH$7-2024)</f>
        <v>0</v>
      </c>
      <c r="AI20" s="301" cm="1">
        <f t="array" ref="AI20">INDEX(revenueMatrixNew,($F$5-1)*40+$D20+2,AI$7-2024)</f>
        <v>0</v>
      </c>
      <c r="AJ20" s="301" cm="1">
        <f t="array" ref="AJ20">INDEX(revenueMatrixNew,($F$5-1)*40+$D20+2,AJ$7-2024)</f>
        <v>0</v>
      </c>
      <c r="AK20" s="301" cm="1">
        <f t="array" ref="AK20">INDEX(revenueMatrixNew,($F$5-1)*40+$D20+2,AK$7-2024)</f>
        <v>0</v>
      </c>
      <c r="AL20" s="301" cm="1">
        <f t="array" ref="AL20">INDEX(revenueMatrixNew,($F$5-1)*40+$D20+2,AL$7-2024)</f>
        <v>0</v>
      </c>
      <c r="AM20" s="301" cm="1">
        <f t="array" ref="AM20">INDEX(revenueMatrixNew,($F$5-1)*40+$D20+2,AM$7-2024)</f>
        <v>0</v>
      </c>
      <c r="AN20" s="301" cm="1">
        <f t="array" ref="AN20">INDEX(revenueMatrixNew,($F$5-1)*40+$D20+2,AN$7-2024)</f>
        <v>0</v>
      </c>
      <c r="AO20" s="301" cm="1">
        <f t="array" ref="AO20">INDEX(revenueMatrixNew,($F$5-1)*40+$D20+2,AO$7-2024)</f>
        <v>0</v>
      </c>
      <c r="AP20" s="163"/>
    </row>
    <row r="21" spans="2:42" outlineLevel="1" x14ac:dyDescent="0.3">
      <c r="D21" s="627">
        <v>14</v>
      </c>
      <c r="E21" s="629" t="s">
        <v>433</v>
      </c>
      <c r="F21" s="301"/>
      <c r="G21" s="301"/>
      <c r="H21" s="301"/>
      <c r="I21" s="301" cm="1">
        <f t="array" ref="I21">INDEX(revenueMatrixNew,($F$5-1)*40+$D21+2,I$7-2024)</f>
        <v>122.16203886869096</v>
      </c>
      <c r="J21" s="301" cm="1">
        <f t="array" ref="J21">INDEX(revenueMatrixNew,($F$5-1)*40+$D21+2,J$7-2024)</f>
        <v>122.16203886869096</v>
      </c>
      <c r="K21" s="301" cm="1">
        <f t="array" ref="K21">INDEX(revenueMatrixNew,($F$5-1)*40+$D21+2,K$7-2024)</f>
        <v>97.729631094952751</v>
      </c>
      <c r="L21" s="301" cm="1">
        <f t="array" ref="L21">INDEX(revenueMatrixNew,($F$5-1)*40+$D21+2,L$7-2024)</f>
        <v>97.729631094952751</v>
      </c>
      <c r="M21" s="301" cm="1">
        <f t="array" ref="M21">INDEX(revenueMatrixNew,($F$5-1)*40+$D21+2,M$7-2024)</f>
        <v>97.729631094952751</v>
      </c>
      <c r="N21" s="301" cm="1">
        <f t="array" ref="N21">INDEX(revenueMatrixNew,($F$5-1)*40+$D21+2,N$7-2024)</f>
        <v>97.729631094952751</v>
      </c>
      <c r="O21" s="301" cm="1">
        <f t="array" ref="O21">INDEX(revenueMatrixNew,($F$5-1)*40+$D21+2,O$7-2024)</f>
        <v>97.729631094952751</v>
      </c>
      <c r="P21" s="301" cm="1">
        <f t="array" ref="P21">INDEX(revenueMatrixNew,($F$5-1)*40+$D21+2,P$7-2024)</f>
        <v>97.729631094952751</v>
      </c>
      <c r="Q21" s="301" cm="1">
        <f t="array" ref="Q21">INDEX(revenueMatrixNew,($F$5-1)*40+$D21+2,Q$7-2024)</f>
        <v>97.729631094952751</v>
      </c>
      <c r="R21" s="301" cm="1">
        <f t="array" ref="R21">INDEX(revenueMatrixNew,($F$5-1)*40+$D21+2,R$7-2024)</f>
        <v>97.729631094952751</v>
      </c>
      <c r="S21" s="301" cm="1">
        <f t="array" ref="S21">INDEX(revenueMatrixNew,($F$5-1)*40+$D21+2,S$7-2024)</f>
        <v>99.247468734139431</v>
      </c>
      <c r="T21" s="301" cm="1">
        <f t="array" ref="T21">INDEX(revenueMatrixNew,($F$5-1)*40+$D21+2,T$7-2024)</f>
        <v>100.7653063733261</v>
      </c>
      <c r="U21" s="301" cm="1">
        <f t="array" ref="U21">INDEX(revenueMatrixNew,($F$5-1)*40+$D21+2,U$7-2024)</f>
        <v>102.28314401251278</v>
      </c>
      <c r="V21" s="301" cm="1">
        <f t="array" ref="V21">INDEX(revenueMatrixNew,($F$5-1)*40+$D21+2,V$7-2024)</f>
        <v>103.80098165169944</v>
      </c>
      <c r="W21" s="301" cm="1">
        <f t="array" ref="W21">INDEX(revenueMatrixNew,($F$5-1)*40+$D21+2,W$7-2024)</f>
        <v>105.31881929088613</v>
      </c>
      <c r="X21" s="301" cm="1">
        <f t="array" ref="X21">INDEX(revenueMatrixNew,($F$5-1)*40+$D21+2,X$7-2024)</f>
        <v>108.24996923645531</v>
      </c>
      <c r="Y21" s="301" cm="1">
        <f t="array" ref="Y21">INDEX(revenueMatrixNew,($F$5-1)*40+$D21+2,Y$7-2024)</f>
        <v>111.1811191820245</v>
      </c>
      <c r="Z21" s="301" cm="1">
        <f t="array" ref="Z21">INDEX(revenueMatrixNew,($F$5-1)*40+$D21+2,Z$7-2024)</f>
        <v>114.11226912759369</v>
      </c>
      <c r="AA21" s="301" cm="1">
        <f t="array" ref="AA21">INDEX(revenueMatrixNew,($F$5-1)*40+$D21+2,AA$7-2024)</f>
        <v>117.04341907316287</v>
      </c>
      <c r="AB21" s="301" cm="1">
        <f t="array" ref="AB21">INDEX(revenueMatrixNew,($F$5-1)*40+$D21+2,AB$7-2024)</f>
        <v>119.97456901873205</v>
      </c>
      <c r="AC21" s="301" cm="1">
        <f t="array" ref="AC21">INDEX(revenueMatrixNew,($F$5-1)*40+$D21+2,AC$7-2024)</f>
        <v>0</v>
      </c>
      <c r="AD21" s="301" cm="1">
        <f t="array" ref="AD21">INDEX(revenueMatrixNew,($F$5-1)*40+$D21+2,AD$7-2024)</f>
        <v>0</v>
      </c>
      <c r="AE21" s="301" cm="1">
        <f t="array" ref="AE21">INDEX(revenueMatrixNew,($F$5-1)*40+$D21+2,AE$7-2024)</f>
        <v>0</v>
      </c>
      <c r="AF21" s="301" cm="1">
        <f t="array" ref="AF21">INDEX(revenueMatrixNew,($F$5-1)*40+$D21+2,AF$7-2024)</f>
        <v>0</v>
      </c>
      <c r="AG21" s="301" cm="1">
        <f t="array" ref="AG21">INDEX(revenueMatrixNew,($F$5-1)*40+$D21+2,AG$7-2024)</f>
        <v>0</v>
      </c>
      <c r="AH21" s="301" cm="1">
        <f t="array" ref="AH21">INDEX(revenueMatrixNew,($F$5-1)*40+$D21+2,AH$7-2024)</f>
        <v>0</v>
      </c>
      <c r="AI21" s="301" cm="1">
        <f t="array" ref="AI21">INDEX(revenueMatrixNew,($F$5-1)*40+$D21+2,AI$7-2024)</f>
        <v>0</v>
      </c>
      <c r="AJ21" s="301" cm="1">
        <f t="array" ref="AJ21">INDEX(revenueMatrixNew,($F$5-1)*40+$D21+2,AJ$7-2024)</f>
        <v>0</v>
      </c>
      <c r="AK21" s="301" cm="1">
        <f t="array" ref="AK21">INDEX(revenueMatrixNew,($F$5-1)*40+$D21+2,AK$7-2024)</f>
        <v>0</v>
      </c>
      <c r="AL21" s="301" cm="1">
        <f t="array" ref="AL21">INDEX(revenueMatrixNew,($F$5-1)*40+$D21+2,AL$7-2024)</f>
        <v>0</v>
      </c>
      <c r="AM21" s="301" cm="1">
        <f t="array" ref="AM21">INDEX(revenueMatrixNew,($F$5-1)*40+$D21+2,AM$7-2024)</f>
        <v>0</v>
      </c>
      <c r="AN21" s="301" cm="1">
        <f t="array" ref="AN21">INDEX(revenueMatrixNew,($F$5-1)*40+$D21+2,AN$7-2024)</f>
        <v>0</v>
      </c>
      <c r="AO21" s="301" cm="1">
        <f t="array" ref="AO21">INDEX(revenueMatrixNew,($F$5-1)*40+$D21+2,AO$7-2024)</f>
        <v>0</v>
      </c>
      <c r="AP21" s="163"/>
    </row>
    <row r="22" spans="2:42" outlineLevel="1" x14ac:dyDescent="0.3">
      <c r="D22" s="627">
        <v>15</v>
      </c>
      <c r="E22" s="629" t="s">
        <v>434</v>
      </c>
      <c r="F22" s="301"/>
      <c r="G22" s="301"/>
      <c r="H22" s="301"/>
      <c r="I22" s="301" cm="1">
        <f t="array" ref="I22">INDEX(revenueMatrixNew,($F$5-1)*40+$D22+2,I$7-2024)</f>
        <v>30.114704533615988</v>
      </c>
      <c r="J22" s="301" cm="1">
        <f t="array" ref="J22">INDEX(revenueMatrixNew,($F$5-1)*40+$D22+2,J$7-2024)</f>
        <v>30.114704533615992</v>
      </c>
      <c r="K22" s="301" cm="1">
        <f t="array" ref="K22">INDEX(revenueMatrixNew,($F$5-1)*40+$D22+2,K$7-2024)</f>
        <v>23.680641380700092</v>
      </c>
      <c r="L22" s="301" cm="1">
        <f t="array" ref="L22">INDEX(revenueMatrixNew,($F$5-1)*40+$D22+2,L$7-2024)</f>
        <v>24.33843697460842</v>
      </c>
      <c r="M22" s="301" cm="1">
        <f t="array" ref="M22">INDEX(revenueMatrixNew,($F$5-1)*40+$D22+2,M$7-2024)</f>
        <v>22.714523474391903</v>
      </c>
      <c r="N22" s="301" cm="1">
        <f t="array" ref="N22">INDEX(revenueMatrixNew,($F$5-1)*40+$D22+2,N$7-2024)</f>
        <v>22.924191945501249</v>
      </c>
      <c r="O22" s="301" cm="1">
        <f t="array" ref="O22">INDEX(revenueMatrixNew,($F$5-1)*40+$D22+2,O$7-2024)</f>
        <v>23.133860416610595</v>
      </c>
      <c r="P22" s="301" cm="1">
        <f t="array" ref="P22">INDEX(revenueMatrixNew,($F$5-1)*40+$D22+2,P$7-2024)</f>
        <v>23.343528887719938</v>
      </c>
      <c r="Q22" s="301" cm="1">
        <f t="array" ref="Q22">INDEX(revenueMatrixNew,($F$5-1)*40+$D22+2,Q$7-2024)</f>
        <v>23.553197358829284</v>
      </c>
      <c r="R22" s="301" cm="1">
        <f t="array" ref="R22">INDEX(revenueMatrixNew,($F$5-1)*40+$D22+2,R$7-2024)</f>
        <v>23.76286582993863</v>
      </c>
      <c r="S22" s="301" cm="1">
        <f t="array" ref="S22">INDEX(revenueMatrixNew,($F$5-1)*40+$D22+2,S$7-2024)</f>
        <v>24.419911914265136</v>
      </c>
      <c r="T22" s="301" cm="1">
        <f t="array" ref="T22">INDEX(revenueMatrixNew,($F$5-1)*40+$D22+2,T$7-2024)</f>
        <v>25.076957998591642</v>
      </c>
      <c r="U22" s="301" cm="1">
        <f t="array" ref="U22">INDEX(revenueMatrixNew,($F$5-1)*40+$D22+2,U$7-2024)</f>
        <v>25.734004082918148</v>
      </c>
      <c r="V22" s="301" cm="1">
        <f t="array" ref="V22">INDEX(revenueMatrixNew,($F$5-1)*40+$D22+2,V$7-2024)</f>
        <v>26.391050167244654</v>
      </c>
      <c r="W22" s="301" cm="1">
        <f t="array" ref="W22">INDEX(revenueMatrixNew,($F$5-1)*40+$D22+2,W$7-2024)</f>
        <v>27.04809625157116</v>
      </c>
      <c r="X22" s="301" cm="1">
        <f t="array" ref="X22">INDEX(revenueMatrixNew,($F$5-1)*40+$D22+2,X$7-2024)</f>
        <v>27.464515035499282</v>
      </c>
      <c r="Y22" s="301" cm="1">
        <f t="array" ref="Y22">INDEX(revenueMatrixNew,($F$5-1)*40+$D22+2,Y$7-2024)</f>
        <v>27.880933819427408</v>
      </c>
      <c r="Z22" s="301" cm="1">
        <f t="array" ref="Z22">INDEX(revenueMatrixNew,($F$5-1)*40+$D22+2,Z$7-2024)</f>
        <v>28.297352603355531</v>
      </c>
      <c r="AA22" s="301" cm="1">
        <f t="array" ref="AA22">INDEX(revenueMatrixNew,($F$5-1)*40+$D22+2,AA$7-2024)</f>
        <v>28.713771387283657</v>
      </c>
      <c r="AB22" s="301" cm="1">
        <f t="array" ref="AB22">INDEX(revenueMatrixNew,($F$5-1)*40+$D22+2,AB$7-2024)</f>
        <v>29.13019017121178</v>
      </c>
      <c r="AC22" s="301" cm="1">
        <f t="array" ref="AC22">INDEX(revenueMatrixNew,($F$5-1)*40+$D22+2,AC$7-2024)</f>
        <v>0</v>
      </c>
      <c r="AD22" s="301" cm="1">
        <f t="array" ref="AD22">INDEX(revenueMatrixNew,($F$5-1)*40+$D22+2,AD$7-2024)</f>
        <v>0</v>
      </c>
      <c r="AE22" s="301" cm="1">
        <f t="array" ref="AE22">INDEX(revenueMatrixNew,($F$5-1)*40+$D22+2,AE$7-2024)</f>
        <v>0</v>
      </c>
      <c r="AF22" s="301" cm="1">
        <f t="array" ref="AF22">INDEX(revenueMatrixNew,($F$5-1)*40+$D22+2,AF$7-2024)</f>
        <v>0</v>
      </c>
      <c r="AG22" s="301" cm="1">
        <f t="array" ref="AG22">INDEX(revenueMatrixNew,($F$5-1)*40+$D22+2,AG$7-2024)</f>
        <v>0</v>
      </c>
      <c r="AH22" s="301" cm="1">
        <f t="array" ref="AH22">INDEX(revenueMatrixNew,($F$5-1)*40+$D22+2,AH$7-2024)</f>
        <v>0</v>
      </c>
      <c r="AI22" s="301" cm="1">
        <f t="array" ref="AI22">INDEX(revenueMatrixNew,($F$5-1)*40+$D22+2,AI$7-2024)</f>
        <v>0</v>
      </c>
      <c r="AJ22" s="301" cm="1">
        <f t="array" ref="AJ22">INDEX(revenueMatrixNew,($F$5-1)*40+$D22+2,AJ$7-2024)</f>
        <v>0</v>
      </c>
      <c r="AK22" s="301" cm="1">
        <f t="array" ref="AK22">INDEX(revenueMatrixNew,($F$5-1)*40+$D22+2,AK$7-2024)</f>
        <v>0</v>
      </c>
      <c r="AL22" s="301" cm="1">
        <f t="array" ref="AL22">INDEX(revenueMatrixNew,($F$5-1)*40+$D22+2,AL$7-2024)</f>
        <v>0</v>
      </c>
      <c r="AM22" s="301" cm="1">
        <f t="array" ref="AM22">INDEX(revenueMatrixNew,($F$5-1)*40+$D22+2,AM$7-2024)</f>
        <v>0</v>
      </c>
      <c r="AN22" s="301" cm="1">
        <f t="array" ref="AN22">INDEX(revenueMatrixNew,($F$5-1)*40+$D22+2,AN$7-2024)</f>
        <v>0</v>
      </c>
      <c r="AO22" s="301" cm="1">
        <f t="array" ref="AO22">INDEX(revenueMatrixNew,($F$5-1)*40+$D22+2,AO$7-2024)</f>
        <v>0</v>
      </c>
      <c r="AP22" s="163"/>
    </row>
    <row r="23" spans="2:42" outlineLevel="1" x14ac:dyDescent="0.3">
      <c r="D23" s="627">
        <v>16</v>
      </c>
      <c r="E23" s="629" t="s">
        <v>440</v>
      </c>
      <c r="F23" s="301"/>
      <c r="G23" s="301"/>
      <c r="H23" s="301"/>
      <c r="I23" s="301" cm="1">
        <f t="array" ref="I23">INDEX(revenueMatrixNew,($F$5-1)*40+$D23+2,I$7-2024)</f>
        <v>143.47714610799684</v>
      </c>
      <c r="J23" s="301" cm="1">
        <f t="array" ref="J23">INDEX(revenueMatrixNew,($F$5-1)*40+$D23+2,J$7-2024)</f>
        <v>117.46765740705874</v>
      </c>
      <c r="K23" s="301" cm="1">
        <f t="array" ref="K23">INDEX(revenueMatrixNew,($F$5-1)*40+$D23+2,K$7-2024)</f>
        <v>63.005407372540716</v>
      </c>
      <c r="L23" s="301" cm="1">
        <f t="array" ref="L23">INDEX(revenueMatrixNew,($F$5-1)*40+$D23+2,L$7-2024)</f>
        <v>82.481235322387548</v>
      </c>
      <c r="M23" s="301" cm="1">
        <f t="array" ref="M23">INDEX(revenueMatrixNew,($F$5-1)*40+$D23+2,M$7-2024)</f>
        <v>112.59345223469656</v>
      </c>
      <c r="N23" s="301" cm="1">
        <f t="array" ref="N23">INDEX(revenueMatrixNew,($F$5-1)*40+$D23+2,N$7-2024)</f>
        <v>138.57086877693831</v>
      </c>
      <c r="O23" s="301" cm="1">
        <f t="array" ref="O23">INDEX(revenueMatrixNew,($F$5-1)*40+$D23+2,O$7-2024)</f>
        <v>164.54828531918008</v>
      </c>
      <c r="P23" s="301" cm="1">
        <f t="array" ref="P23">INDEX(revenueMatrixNew,($F$5-1)*40+$D23+2,P$7-2024)</f>
        <v>190.52570186142185</v>
      </c>
      <c r="Q23" s="301" cm="1">
        <f t="array" ref="Q23">INDEX(revenueMatrixNew,($F$5-1)*40+$D23+2,Q$7-2024)</f>
        <v>216.50311840366359</v>
      </c>
      <c r="R23" s="301" cm="1">
        <f t="array" ref="R23">INDEX(revenueMatrixNew,($F$5-1)*40+$D23+2,R$7-2024)</f>
        <v>242.48053494590533</v>
      </c>
      <c r="S23" s="301" cm="1">
        <f t="array" ref="S23">INDEX(revenueMatrixNew,($F$5-1)*40+$D23+2,S$7-2024)</f>
        <v>261.7236545004256</v>
      </c>
      <c r="T23" s="301" cm="1">
        <f t="array" ref="T23">INDEX(revenueMatrixNew,($F$5-1)*40+$D23+2,T$7-2024)</f>
        <v>280.96677405494586</v>
      </c>
      <c r="U23" s="301" cm="1">
        <f t="array" ref="U23">INDEX(revenueMatrixNew,($F$5-1)*40+$D23+2,U$7-2024)</f>
        <v>300.20989360946612</v>
      </c>
      <c r="V23" s="301" cm="1">
        <f t="array" ref="V23">INDEX(revenueMatrixNew,($F$5-1)*40+$D23+2,V$7-2024)</f>
        <v>319.45301316398638</v>
      </c>
      <c r="W23" s="301" cm="1">
        <f t="array" ref="W23">INDEX(revenueMatrixNew,($F$5-1)*40+$D23+2,W$7-2024)</f>
        <v>338.69613271850665</v>
      </c>
      <c r="X23" s="301" cm="1">
        <f t="array" ref="X23">INDEX(revenueMatrixNew,($F$5-1)*40+$D23+2,X$7-2024)</f>
        <v>359.7033237513383</v>
      </c>
      <c r="Y23" s="301" cm="1">
        <f t="array" ref="Y23">INDEX(revenueMatrixNew,($F$5-1)*40+$D23+2,Y$7-2024)</f>
        <v>380.71051478416996</v>
      </c>
      <c r="Z23" s="301" cm="1">
        <f t="array" ref="Z23">INDEX(revenueMatrixNew,($F$5-1)*40+$D23+2,Z$7-2024)</f>
        <v>401.71770581700162</v>
      </c>
      <c r="AA23" s="301" cm="1">
        <f t="array" ref="AA23">INDEX(revenueMatrixNew,($F$5-1)*40+$D23+2,AA$7-2024)</f>
        <v>422.72489684983321</v>
      </c>
      <c r="AB23" s="301" cm="1">
        <f t="array" ref="AB23">INDEX(revenueMatrixNew,($F$5-1)*40+$D23+2,AB$7-2024)</f>
        <v>443.73208788266487</v>
      </c>
      <c r="AC23" s="301" cm="1">
        <f t="array" ref="AC23">INDEX(revenueMatrixNew,($F$5-1)*40+$D23+2,AC$7-2024)</f>
        <v>0</v>
      </c>
      <c r="AD23" s="301" cm="1">
        <f t="array" ref="AD23">INDEX(revenueMatrixNew,($F$5-1)*40+$D23+2,AD$7-2024)</f>
        <v>0</v>
      </c>
      <c r="AE23" s="301" cm="1">
        <f t="array" ref="AE23">INDEX(revenueMatrixNew,($F$5-1)*40+$D23+2,AE$7-2024)</f>
        <v>0</v>
      </c>
      <c r="AF23" s="301" cm="1">
        <f t="array" ref="AF23">INDEX(revenueMatrixNew,($F$5-1)*40+$D23+2,AF$7-2024)</f>
        <v>0</v>
      </c>
      <c r="AG23" s="301" cm="1">
        <f t="array" ref="AG23">INDEX(revenueMatrixNew,($F$5-1)*40+$D23+2,AG$7-2024)</f>
        <v>0</v>
      </c>
      <c r="AH23" s="301" cm="1">
        <f t="array" ref="AH23">INDEX(revenueMatrixNew,($F$5-1)*40+$D23+2,AH$7-2024)</f>
        <v>0</v>
      </c>
      <c r="AI23" s="301" cm="1">
        <f t="array" ref="AI23">INDEX(revenueMatrixNew,($F$5-1)*40+$D23+2,AI$7-2024)</f>
        <v>0</v>
      </c>
      <c r="AJ23" s="301" cm="1">
        <f t="array" ref="AJ23">INDEX(revenueMatrixNew,($F$5-1)*40+$D23+2,AJ$7-2024)</f>
        <v>0</v>
      </c>
      <c r="AK23" s="301" cm="1">
        <f t="array" ref="AK23">INDEX(revenueMatrixNew,($F$5-1)*40+$D23+2,AK$7-2024)</f>
        <v>0</v>
      </c>
      <c r="AL23" s="301" cm="1">
        <f t="array" ref="AL23">INDEX(revenueMatrixNew,($F$5-1)*40+$D23+2,AL$7-2024)</f>
        <v>0</v>
      </c>
      <c r="AM23" s="301" cm="1">
        <f t="array" ref="AM23">INDEX(revenueMatrixNew,($F$5-1)*40+$D23+2,AM$7-2024)</f>
        <v>0</v>
      </c>
      <c r="AN23" s="301" cm="1">
        <f t="array" ref="AN23">INDEX(revenueMatrixNew,($F$5-1)*40+$D23+2,AN$7-2024)</f>
        <v>0</v>
      </c>
      <c r="AO23" s="301" cm="1">
        <f t="array" ref="AO23">INDEX(revenueMatrixNew,($F$5-1)*40+$D23+2,AO$7-2024)</f>
        <v>0</v>
      </c>
      <c r="AP23" s="163"/>
    </row>
    <row r="24" spans="2:42" outlineLevel="1" x14ac:dyDescent="0.3">
      <c r="D24" s="627">
        <v>17</v>
      </c>
      <c r="E24" s="629" t="s">
        <v>435</v>
      </c>
      <c r="F24" s="301"/>
      <c r="G24" s="301"/>
      <c r="H24" s="301"/>
      <c r="I24" s="301" cm="1">
        <f t="array" ref="I24">INDEX(revenueMatrixNew,($F$5-1)*40+$D24+2,I$7-2024)</f>
        <v>23.035248702346333</v>
      </c>
      <c r="J24" s="301" cm="1">
        <f t="array" ref="J24">INDEX(revenueMatrixNew,($F$5-1)*40+$D24+2,J$7-2024)</f>
        <v>39.423424851736492</v>
      </c>
      <c r="K24" s="301" cm="1">
        <f t="array" ref="K24">INDEX(revenueMatrixNew,($F$5-1)*40+$D24+2,K$7-2024)</f>
        <v>54.352395858219772</v>
      </c>
      <c r="L24" s="301" cm="1">
        <f t="array" ref="L24">INDEX(revenueMatrixNew,($F$5-1)*40+$D24+2,L$7-2024)</f>
        <v>55.05125615688199</v>
      </c>
      <c r="M24" s="301" cm="1">
        <f t="array" ref="M24">INDEX(revenueMatrixNew,($F$5-1)*40+$D24+2,M$7-2024)</f>
        <v>70.339651868814656</v>
      </c>
      <c r="N24" s="301" cm="1">
        <f t="array" ref="N24">INDEX(revenueMatrixNew,($F$5-1)*40+$D24+2,N$7-2024)</f>
        <v>63.465537245320895</v>
      </c>
      <c r="O24" s="301" cm="1">
        <f t="array" ref="O24">INDEX(revenueMatrixNew,($F$5-1)*40+$D24+2,O$7-2024)</f>
        <v>56.591422621827128</v>
      </c>
      <c r="P24" s="301" cm="1">
        <f t="array" ref="P24">INDEX(revenueMatrixNew,($F$5-1)*40+$D24+2,P$7-2024)</f>
        <v>49.717307998333368</v>
      </c>
      <c r="Q24" s="301" cm="1">
        <f t="array" ref="Q24">INDEX(revenueMatrixNew,($F$5-1)*40+$D24+2,Q$7-2024)</f>
        <v>42.843193374839601</v>
      </c>
      <c r="R24" s="301" cm="1">
        <f t="array" ref="R24">INDEX(revenueMatrixNew,($F$5-1)*40+$D24+2,R$7-2024)</f>
        <v>35.96907875134584</v>
      </c>
      <c r="S24" s="301" cm="1">
        <f t="array" ref="S24">INDEX(revenueMatrixNew,($F$5-1)*40+$D24+2,S$7-2024)</f>
        <v>42.163215486230513</v>
      </c>
      <c r="T24" s="301" cm="1">
        <f t="array" ref="T24">INDEX(revenueMatrixNew,($F$5-1)*40+$D24+2,T$7-2024)</f>
        <v>48.357352221115178</v>
      </c>
      <c r="U24" s="301" cm="1">
        <f t="array" ref="U24">INDEX(revenueMatrixNew,($F$5-1)*40+$D24+2,U$7-2024)</f>
        <v>54.551488955999851</v>
      </c>
      <c r="V24" s="301" cm="1">
        <f t="array" ref="V24">INDEX(revenueMatrixNew,($F$5-1)*40+$D24+2,V$7-2024)</f>
        <v>60.745625690884523</v>
      </c>
      <c r="W24" s="301" cm="1">
        <f t="array" ref="W24">INDEX(revenueMatrixNew,($F$5-1)*40+$D24+2,W$7-2024)</f>
        <v>66.939762425769189</v>
      </c>
      <c r="X24" s="301" cm="1">
        <f t="array" ref="X24">INDEX(revenueMatrixNew,($F$5-1)*40+$D24+2,X$7-2024)</f>
        <v>70.117159035893849</v>
      </c>
      <c r="Y24" s="301" cm="1">
        <f t="array" ref="Y24">INDEX(revenueMatrixNew,($F$5-1)*40+$D24+2,Y$7-2024)</f>
        <v>73.294555646018509</v>
      </c>
      <c r="Z24" s="301" cm="1">
        <f t="array" ref="Z24">INDEX(revenueMatrixNew,($F$5-1)*40+$D24+2,Z$7-2024)</f>
        <v>76.471952256143169</v>
      </c>
      <c r="AA24" s="301" cm="1">
        <f t="array" ref="AA24">INDEX(revenueMatrixNew,($F$5-1)*40+$D24+2,AA$7-2024)</f>
        <v>79.649348866267829</v>
      </c>
      <c r="AB24" s="301" cm="1">
        <f t="array" ref="AB24">INDEX(revenueMatrixNew,($F$5-1)*40+$D24+2,AB$7-2024)</f>
        <v>82.826745476392489</v>
      </c>
      <c r="AC24" s="301" cm="1">
        <f t="array" ref="AC24">INDEX(revenueMatrixNew,($F$5-1)*40+$D24+2,AC$7-2024)</f>
        <v>0</v>
      </c>
      <c r="AD24" s="301" cm="1">
        <f t="array" ref="AD24">INDEX(revenueMatrixNew,($F$5-1)*40+$D24+2,AD$7-2024)</f>
        <v>0</v>
      </c>
      <c r="AE24" s="301" cm="1">
        <f t="array" ref="AE24">INDEX(revenueMatrixNew,($F$5-1)*40+$D24+2,AE$7-2024)</f>
        <v>0</v>
      </c>
      <c r="AF24" s="301" cm="1">
        <f t="array" ref="AF24">INDEX(revenueMatrixNew,($F$5-1)*40+$D24+2,AF$7-2024)</f>
        <v>0</v>
      </c>
      <c r="AG24" s="301" cm="1">
        <f t="array" ref="AG24">INDEX(revenueMatrixNew,($F$5-1)*40+$D24+2,AG$7-2024)</f>
        <v>0</v>
      </c>
      <c r="AH24" s="301" cm="1">
        <f t="array" ref="AH24">INDEX(revenueMatrixNew,($F$5-1)*40+$D24+2,AH$7-2024)</f>
        <v>0</v>
      </c>
      <c r="AI24" s="301" cm="1">
        <f t="array" ref="AI24">INDEX(revenueMatrixNew,($F$5-1)*40+$D24+2,AI$7-2024)</f>
        <v>0</v>
      </c>
      <c r="AJ24" s="301" cm="1">
        <f t="array" ref="AJ24">INDEX(revenueMatrixNew,($F$5-1)*40+$D24+2,AJ$7-2024)</f>
        <v>0</v>
      </c>
      <c r="AK24" s="301" cm="1">
        <f t="array" ref="AK24">INDEX(revenueMatrixNew,($F$5-1)*40+$D24+2,AK$7-2024)</f>
        <v>0</v>
      </c>
      <c r="AL24" s="301" cm="1">
        <f t="array" ref="AL24">INDEX(revenueMatrixNew,($F$5-1)*40+$D24+2,AL$7-2024)</f>
        <v>0</v>
      </c>
      <c r="AM24" s="301" cm="1">
        <f t="array" ref="AM24">INDEX(revenueMatrixNew,($F$5-1)*40+$D24+2,AM$7-2024)</f>
        <v>0</v>
      </c>
      <c r="AN24" s="301" cm="1">
        <f t="array" ref="AN24">INDEX(revenueMatrixNew,($F$5-1)*40+$D24+2,AN$7-2024)</f>
        <v>0</v>
      </c>
      <c r="AO24" s="301" cm="1">
        <f t="array" ref="AO24">INDEX(revenueMatrixNew,($F$5-1)*40+$D24+2,AO$7-2024)</f>
        <v>0</v>
      </c>
      <c r="AP24" s="163"/>
    </row>
    <row r="25" spans="2:42" outlineLevel="1" x14ac:dyDescent="0.3">
      <c r="D25" s="627">
        <v>18</v>
      </c>
      <c r="E25" s="629" t="s">
        <v>436</v>
      </c>
      <c r="F25" s="301"/>
      <c r="G25" s="301"/>
      <c r="H25" s="301"/>
      <c r="I25" s="301" cm="1">
        <f t="array" ref="I25">INDEX(revenueMatrixNew,($F$5-1)*40+$D25+2,I$7-2024)</f>
        <v>0</v>
      </c>
      <c r="J25" s="301" cm="1">
        <f t="array" ref="J25">INDEX(revenueMatrixNew,($F$5-1)*40+$D25+2,J$7-2024)</f>
        <v>0</v>
      </c>
      <c r="K25" s="301" cm="1">
        <f t="array" ref="K25">INDEX(revenueMatrixNew,($F$5-1)*40+$D25+2,K$7-2024)</f>
        <v>0</v>
      </c>
      <c r="L25" s="301" cm="1">
        <f t="array" ref="L25">INDEX(revenueMatrixNew,($F$5-1)*40+$D25+2,L$7-2024)</f>
        <v>0</v>
      </c>
      <c r="M25" s="301" cm="1">
        <f t="array" ref="M25">INDEX(revenueMatrixNew,($F$5-1)*40+$D25+2,M$7-2024)</f>
        <v>0</v>
      </c>
      <c r="N25" s="301" cm="1">
        <f t="array" ref="N25">INDEX(revenueMatrixNew,($F$5-1)*40+$D25+2,N$7-2024)</f>
        <v>0</v>
      </c>
      <c r="O25" s="301" cm="1">
        <f t="array" ref="O25">INDEX(revenueMatrixNew,($F$5-1)*40+$D25+2,O$7-2024)</f>
        <v>0</v>
      </c>
      <c r="P25" s="301" cm="1">
        <f t="array" ref="P25">INDEX(revenueMatrixNew,($F$5-1)*40+$D25+2,P$7-2024)</f>
        <v>0</v>
      </c>
      <c r="Q25" s="301" cm="1">
        <f t="array" ref="Q25">INDEX(revenueMatrixNew,($F$5-1)*40+$D25+2,Q$7-2024)</f>
        <v>0</v>
      </c>
      <c r="R25" s="301" cm="1">
        <f t="array" ref="R25">INDEX(revenueMatrixNew,($F$5-1)*40+$D25+2,R$7-2024)</f>
        <v>0</v>
      </c>
      <c r="S25" s="301" cm="1">
        <f t="array" ref="S25">INDEX(revenueMatrixNew,($F$5-1)*40+$D25+2,S$7-2024)</f>
        <v>0</v>
      </c>
      <c r="T25" s="301" cm="1">
        <f t="array" ref="T25">INDEX(revenueMatrixNew,($F$5-1)*40+$D25+2,T$7-2024)</f>
        <v>0</v>
      </c>
      <c r="U25" s="301" cm="1">
        <f t="array" ref="U25">INDEX(revenueMatrixNew,($F$5-1)*40+$D25+2,U$7-2024)</f>
        <v>0</v>
      </c>
      <c r="V25" s="301" cm="1">
        <f t="array" ref="V25">INDEX(revenueMatrixNew,($F$5-1)*40+$D25+2,V$7-2024)</f>
        <v>0</v>
      </c>
      <c r="W25" s="301" cm="1">
        <f t="array" ref="W25">INDEX(revenueMatrixNew,($F$5-1)*40+$D25+2,W$7-2024)</f>
        <v>0</v>
      </c>
      <c r="X25" s="301" cm="1">
        <f t="array" ref="X25">INDEX(revenueMatrixNew,($F$5-1)*40+$D25+2,X$7-2024)</f>
        <v>0</v>
      </c>
      <c r="Y25" s="301" cm="1">
        <f t="array" ref="Y25">INDEX(revenueMatrixNew,($F$5-1)*40+$D25+2,Y$7-2024)</f>
        <v>0</v>
      </c>
      <c r="Z25" s="301" cm="1">
        <f t="array" ref="Z25">INDEX(revenueMatrixNew,($F$5-1)*40+$D25+2,Z$7-2024)</f>
        <v>0</v>
      </c>
      <c r="AA25" s="301" cm="1">
        <f t="array" ref="AA25">INDEX(revenueMatrixNew,($F$5-1)*40+$D25+2,AA$7-2024)</f>
        <v>0</v>
      </c>
      <c r="AB25" s="301" cm="1">
        <f t="array" ref="AB25">INDEX(revenueMatrixNew,($F$5-1)*40+$D25+2,AB$7-2024)</f>
        <v>0</v>
      </c>
      <c r="AC25" s="301" cm="1">
        <f t="array" ref="AC25">INDEX(revenueMatrixNew,($F$5-1)*40+$D25+2,AC$7-2024)</f>
        <v>0</v>
      </c>
      <c r="AD25" s="301" cm="1">
        <f t="array" ref="AD25">INDEX(revenueMatrixNew,($F$5-1)*40+$D25+2,AD$7-2024)</f>
        <v>0</v>
      </c>
      <c r="AE25" s="301" cm="1">
        <f t="array" ref="AE25">INDEX(revenueMatrixNew,($F$5-1)*40+$D25+2,AE$7-2024)</f>
        <v>0</v>
      </c>
      <c r="AF25" s="301" cm="1">
        <f t="array" ref="AF25">INDEX(revenueMatrixNew,($F$5-1)*40+$D25+2,AF$7-2024)</f>
        <v>0</v>
      </c>
      <c r="AG25" s="301" cm="1">
        <f t="array" ref="AG25">INDEX(revenueMatrixNew,($F$5-1)*40+$D25+2,AG$7-2024)</f>
        <v>0</v>
      </c>
      <c r="AH25" s="301" cm="1">
        <f t="array" ref="AH25">INDEX(revenueMatrixNew,($F$5-1)*40+$D25+2,AH$7-2024)</f>
        <v>0</v>
      </c>
      <c r="AI25" s="301" cm="1">
        <f t="array" ref="AI25">INDEX(revenueMatrixNew,($F$5-1)*40+$D25+2,AI$7-2024)</f>
        <v>0</v>
      </c>
      <c r="AJ25" s="301" cm="1">
        <f t="array" ref="AJ25">INDEX(revenueMatrixNew,($F$5-1)*40+$D25+2,AJ$7-2024)</f>
        <v>0</v>
      </c>
      <c r="AK25" s="301" cm="1">
        <f t="array" ref="AK25">INDEX(revenueMatrixNew,($F$5-1)*40+$D25+2,AK$7-2024)</f>
        <v>0</v>
      </c>
      <c r="AL25" s="301" cm="1">
        <f t="array" ref="AL25">INDEX(revenueMatrixNew,($F$5-1)*40+$D25+2,AL$7-2024)</f>
        <v>0</v>
      </c>
      <c r="AM25" s="301" cm="1">
        <f t="array" ref="AM25">INDEX(revenueMatrixNew,($F$5-1)*40+$D25+2,AM$7-2024)</f>
        <v>0</v>
      </c>
      <c r="AN25" s="301" cm="1">
        <f t="array" ref="AN25">INDEX(revenueMatrixNew,($F$5-1)*40+$D25+2,AN$7-2024)</f>
        <v>0</v>
      </c>
      <c r="AO25" s="301" cm="1">
        <f t="array" ref="AO25">INDEX(revenueMatrixNew,($F$5-1)*40+$D25+2,AO$7-2024)</f>
        <v>0</v>
      </c>
      <c r="AP25" s="163"/>
    </row>
    <row r="26" spans="2:42" outlineLevel="1" x14ac:dyDescent="0.3">
      <c r="D26" s="627">
        <v>19</v>
      </c>
      <c r="E26" s="629" t="s">
        <v>479</v>
      </c>
      <c r="F26" s="301"/>
      <c r="G26" s="301"/>
      <c r="H26" s="301"/>
      <c r="I26" s="301" cm="1">
        <f t="array" ref="I26">INDEX(revenueMatrixNew,($F$5-1)*40+$D26+2,I$7-2024)</f>
        <v>2000</v>
      </c>
      <c r="J26" s="301" cm="1">
        <f t="array" ref="J26">INDEX(revenueMatrixNew,($F$5-1)*40+$D26+2,J$7-2024)</f>
        <v>0</v>
      </c>
      <c r="K26" s="301" cm="1">
        <f t="array" ref="K26">INDEX(revenueMatrixNew,($F$5-1)*40+$D26+2,K$7-2024)</f>
        <v>0</v>
      </c>
      <c r="L26" s="301" cm="1">
        <f t="array" ref="L26">INDEX(revenueMatrixNew,($F$5-1)*40+$D26+2,L$7-2024)</f>
        <v>0</v>
      </c>
      <c r="M26" s="301" cm="1">
        <f t="array" ref="M26">INDEX(revenueMatrixNew,($F$5-1)*40+$D26+2,M$7-2024)</f>
        <v>0</v>
      </c>
      <c r="N26" s="301" cm="1">
        <f t="array" ref="N26">INDEX(revenueMatrixNew,($F$5-1)*40+$D26+2,N$7-2024)</f>
        <v>0</v>
      </c>
      <c r="O26" s="301" cm="1">
        <f t="array" ref="O26">INDEX(revenueMatrixNew,($F$5-1)*40+$D26+2,O$7-2024)</f>
        <v>0</v>
      </c>
      <c r="P26" s="301" cm="1">
        <f t="array" ref="P26">INDEX(revenueMatrixNew,($F$5-1)*40+$D26+2,P$7-2024)</f>
        <v>0</v>
      </c>
      <c r="Q26" s="301" cm="1">
        <f t="array" ref="Q26">INDEX(revenueMatrixNew,($F$5-1)*40+$D26+2,Q$7-2024)</f>
        <v>0</v>
      </c>
      <c r="R26" s="301" cm="1">
        <f t="array" ref="R26">INDEX(revenueMatrixNew,($F$5-1)*40+$D26+2,R$7-2024)</f>
        <v>0</v>
      </c>
      <c r="S26" s="301" cm="1">
        <f t="array" ref="S26">INDEX(revenueMatrixNew,($F$5-1)*40+$D26+2,S$7-2024)</f>
        <v>0</v>
      </c>
      <c r="T26" s="301" cm="1">
        <f t="array" ref="T26">INDEX(revenueMatrixNew,($F$5-1)*40+$D26+2,T$7-2024)</f>
        <v>0</v>
      </c>
      <c r="U26" s="301" cm="1">
        <f t="array" ref="U26">INDEX(revenueMatrixNew,($F$5-1)*40+$D26+2,U$7-2024)</f>
        <v>0</v>
      </c>
      <c r="V26" s="301" cm="1">
        <f t="array" ref="V26">INDEX(revenueMatrixNew,($F$5-1)*40+$D26+2,V$7-2024)</f>
        <v>0</v>
      </c>
      <c r="W26" s="301" cm="1">
        <f t="array" ref="W26">INDEX(revenueMatrixNew,($F$5-1)*40+$D26+2,W$7-2024)</f>
        <v>0</v>
      </c>
      <c r="X26" s="301" cm="1">
        <f t="array" ref="X26">INDEX(revenueMatrixNew,($F$5-1)*40+$D26+2,X$7-2024)</f>
        <v>0</v>
      </c>
      <c r="Y26" s="301" cm="1">
        <f t="array" ref="Y26">INDEX(revenueMatrixNew,($F$5-1)*40+$D26+2,Y$7-2024)</f>
        <v>0</v>
      </c>
      <c r="Z26" s="301" cm="1">
        <f t="array" ref="Z26">INDEX(revenueMatrixNew,($F$5-1)*40+$D26+2,Z$7-2024)</f>
        <v>0</v>
      </c>
      <c r="AA26" s="301" cm="1">
        <f t="array" ref="AA26">INDEX(revenueMatrixNew,($F$5-1)*40+$D26+2,AA$7-2024)</f>
        <v>0</v>
      </c>
      <c r="AB26" s="301" cm="1">
        <f t="array" ref="AB26">INDEX(revenueMatrixNew,($F$5-1)*40+$D26+2,AB$7-2024)</f>
        <v>0</v>
      </c>
      <c r="AC26" s="301" cm="1">
        <f t="array" ref="AC26">INDEX(revenueMatrixNew,($F$5-1)*40+$D26+2,AC$7-2024)</f>
        <v>0</v>
      </c>
      <c r="AD26" s="301" cm="1">
        <f t="array" ref="AD26">INDEX(revenueMatrixNew,($F$5-1)*40+$D26+2,AD$7-2024)</f>
        <v>0</v>
      </c>
      <c r="AE26" s="301" cm="1">
        <f t="array" ref="AE26">INDEX(revenueMatrixNew,($F$5-1)*40+$D26+2,AE$7-2024)</f>
        <v>0</v>
      </c>
      <c r="AF26" s="301" cm="1">
        <f t="array" ref="AF26">INDEX(revenueMatrixNew,($F$5-1)*40+$D26+2,AF$7-2024)</f>
        <v>0</v>
      </c>
      <c r="AG26" s="301" cm="1">
        <f t="array" ref="AG26">INDEX(revenueMatrixNew,($F$5-1)*40+$D26+2,AG$7-2024)</f>
        <v>0</v>
      </c>
      <c r="AH26" s="301" cm="1">
        <f t="array" ref="AH26">INDEX(revenueMatrixNew,($F$5-1)*40+$D26+2,AH$7-2024)</f>
        <v>0</v>
      </c>
      <c r="AI26" s="301" cm="1">
        <f t="array" ref="AI26">INDEX(revenueMatrixNew,($F$5-1)*40+$D26+2,AI$7-2024)</f>
        <v>0</v>
      </c>
      <c r="AJ26" s="301" cm="1">
        <f t="array" ref="AJ26">INDEX(revenueMatrixNew,($F$5-1)*40+$D26+2,AJ$7-2024)</f>
        <v>0</v>
      </c>
      <c r="AK26" s="301" cm="1">
        <f t="array" ref="AK26">INDEX(revenueMatrixNew,($F$5-1)*40+$D26+2,AK$7-2024)</f>
        <v>0</v>
      </c>
      <c r="AL26" s="301" cm="1">
        <f t="array" ref="AL26">INDEX(revenueMatrixNew,($F$5-1)*40+$D26+2,AL$7-2024)</f>
        <v>0</v>
      </c>
      <c r="AM26" s="301" cm="1">
        <f t="array" ref="AM26">INDEX(revenueMatrixNew,($F$5-1)*40+$D26+2,AM$7-2024)</f>
        <v>0</v>
      </c>
      <c r="AN26" s="301" cm="1">
        <f t="array" ref="AN26">INDEX(revenueMatrixNew,($F$5-1)*40+$D26+2,AN$7-2024)</f>
        <v>0</v>
      </c>
      <c r="AO26" s="301" cm="1">
        <f t="array" ref="AO26">INDEX(revenueMatrixNew,($F$5-1)*40+$D26+2,AO$7-2024)</f>
        <v>0</v>
      </c>
      <c r="AP26" s="163"/>
    </row>
    <row r="27" spans="2:42" outlineLevel="1" x14ac:dyDescent="0.3">
      <c r="C27" s="12"/>
      <c r="D27" s="627"/>
      <c r="E27" s="630" t="s">
        <v>379</v>
      </c>
      <c r="F27" s="631"/>
      <c r="G27" s="631"/>
      <c r="H27" s="631"/>
      <c r="I27" s="631">
        <f>SUM(I8:I26)</f>
        <v>3002.6560790903977</v>
      </c>
      <c r="J27" s="631">
        <f t="shared" ref="J27:AO27" si="1">SUM(J8:J26)</f>
        <v>969.8463346639362</v>
      </c>
      <c r="K27" s="631">
        <f t="shared" si="1"/>
        <v>848.39798122317279</v>
      </c>
      <c r="L27" s="631">
        <f t="shared" si="1"/>
        <v>889.9459353786533</v>
      </c>
      <c r="M27" s="631">
        <f t="shared" si="1"/>
        <v>941.06552288199987</v>
      </c>
      <c r="N27" s="631">
        <f t="shared" si="1"/>
        <v>966.89417760271601</v>
      </c>
      <c r="O27" s="631">
        <f>SUM(O8:O26)</f>
        <v>992.72283232343227</v>
      </c>
      <c r="P27" s="631">
        <f t="shared" si="1"/>
        <v>1018.5514870441484</v>
      </c>
      <c r="Q27" s="631">
        <f t="shared" si="1"/>
        <v>1044.3801417648647</v>
      </c>
      <c r="R27" s="631">
        <f t="shared" si="1"/>
        <v>1070.2087964855809</v>
      </c>
      <c r="S27" s="631">
        <f t="shared" si="1"/>
        <v>1128.4050797775353</v>
      </c>
      <c r="T27" s="631">
        <f t="shared" si="1"/>
        <v>1186.6013630694899</v>
      </c>
      <c r="U27" s="631">
        <f t="shared" si="1"/>
        <v>1244.7976463614445</v>
      </c>
      <c r="V27" s="631">
        <f t="shared" si="1"/>
        <v>1302.9939296533989</v>
      </c>
      <c r="W27" s="631">
        <f t="shared" si="1"/>
        <v>1361.1902129453536</v>
      </c>
      <c r="X27" s="631">
        <f t="shared" si="1"/>
        <v>1411.7700763604128</v>
      </c>
      <c r="Y27" s="631">
        <f t="shared" si="1"/>
        <v>1462.3499397754722</v>
      </c>
      <c r="Z27" s="631">
        <f t="shared" si="1"/>
        <v>1512.9298031905312</v>
      </c>
      <c r="AA27" s="631">
        <f t="shared" si="1"/>
        <v>1563.5096666055904</v>
      </c>
      <c r="AB27" s="631">
        <f t="shared" si="1"/>
        <v>1614.0895300206498</v>
      </c>
      <c r="AC27" s="631">
        <f t="shared" si="1"/>
        <v>0</v>
      </c>
      <c r="AD27" s="631">
        <f t="shared" si="1"/>
        <v>0</v>
      </c>
      <c r="AE27" s="631">
        <f t="shared" si="1"/>
        <v>0</v>
      </c>
      <c r="AF27" s="631">
        <f t="shared" si="1"/>
        <v>0</v>
      </c>
      <c r="AG27" s="631">
        <f t="shared" si="1"/>
        <v>0</v>
      </c>
      <c r="AH27" s="631">
        <f t="shared" si="1"/>
        <v>0</v>
      </c>
      <c r="AI27" s="631">
        <f t="shared" si="1"/>
        <v>0</v>
      </c>
      <c r="AJ27" s="631">
        <f t="shared" si="1"/>
        <v>0</v>
      </c>
      <c r="AK27" s="631">
        <f t="shared" si="1"/>
        <v>0</v>
      </c>
      <c r="AL27" s="631">
        <f t="shared" si="1"/>
        <v>0</v>
      </c>
      <c r="AM27" s="631">
        <f t="shared" si="1"/>
        <v>0</v>
      </c>
      <c r="AN27" s="631">
        <f t="shared" si="1"/>
        <v>0</v>
      </c>
      <c r="AO27" s="631">
        <f t="shared" si="1"/>
        <v>0</v>
      </c>
      <c r="AP27" s="543"/>
    </row>
    <row r="28" spans="2:42" outlineLevel="1" x14ac:dyDescent="0.3">
      <c r="D28" s="627"/>
    </row>
    <row r="29" spans="2:42" outlineLevel="1" x14ac:dyDescent="0.3">
      <c r="B29" s="2"/>
      <c r="C29" s="2"/>
      <c r="D29" s="2" t="s">
        <v>120</v>
      </c>
    </row>
    <row r="30" spans="2:42" ht="21" x14ac:dyDescent="0.4">
      <c r="B30" s="6"/>
      <c r="C30" s="6"/>
      <c r="D30" s="6">
        <v>1</v>
      </c>
      <c r="E30" s="632" t="str">
        <f>_xlfn.CONCAT(revenueSimulationID," ",$D30,"|",INDEX(StdConfigDesc,$D30,$E$29))</f>
        <v>Case 1|Residential - Small (5 kW/10 kWh)</v>
      </c>
      <c r="F30" s="633"/>
      <c r="G30" s="633"/>
      <c r="H30" s="633"/>
      <c r="I30" s="633"/>
      <c r="J30" s="633"/>
      <c r="K30" s="633"/>
      <c r="L30" s="633"/>
      <c r="M30" s="633"/>
      <c r="N30" s="633"/>
      <c r="O30" s="633"/>
      <c r="P30" s="633"/>
      <c r="Q30" s="633"/>
      <c r="R30" s="633"/>
      <c r="S30" s="633"/>
      <c r="T30" s="633"/>
      <c r="U30" s="633"/>
      <c r="V30" s="633"/>
      <c r="W30" s="633"/>
      <c r="X30" s="633"/>
      <c r="Y30" s="633"/>
      <c r="Z30" s="633"/>
      <c r="AA30" s="633"/>
      <c r="AB30" s="633"/>
      <c r="AC30" s="633"/>
      <c r="AD30" s="633"/>
      <c r="AE30" s="633"/>
      <c r="AF30" s="633"/>
      <c r="AG30" s="633"/>
      <c r="AH30" s="633"/>
      <c r="AI30" s="633"/>
      <c r="AJ30" s="633"/>
      <c r="AK30" s="633"/>
      <c r="AL30" s="633"/>
      <c r="AM30" s="633"/>
      <c r="AN30" s="633"/>
      <c r="AO30" s="633"/>
      <c r="AP30" s="634"/>
    </row>
    <row r="31" spans="2:42" ht="25.8" x14ac:dyDescent="0.5">
      <c r="B31" s="6"/>
      <c r="C31" s="6"/>
      <c r="D31" s="6">
        <v>1</v>
      </c>
      <c r="E31" s="635"/>
      <c r="F31" s="2">
        <v>2025</v>
      </c>
      <c r="G31" s="2">
        <f>F31+1</f>
        <v>2026</v>
      </c>
      <c r="H31" s="2">
        <f t="shared" ref="H31:AO31" si="2">G31+1</f>
        <v>2027</v>
      </c>
      <c r="I31" s="2">
        <f t="shared" si="2"/>
        <v>2028</v>
      </c>
      <c r="J31" s="2">
        <f t="shared" si="2"/>
        <v>2029</v>
      </c>
      <c r="K31" s="2">
        <f t="shared" si="2"/>
        <v>2030</v>
      </c>
      <c r="L31" s="2">
        <f t="shared" si="2"/>
        <v>2031</v>
      </c>
      <c r="M31" s="2">
        <f t="shared" si="2"/>
        <v>2032</v>
      </c>
      <c r="N31" s="2">
        <f t="shared" si="2"/>
        <v>2033</v>
      </c>
      <c r="O31" s="2">
        <f t="shared" si="2"/>
        <v>2034</v>
      </c>
      <c r="P31" s="2">
        <f t="shared" si="2"/>
        <v>2035</v>
      </c>
      <c r="Q31" s="2">
        <f t="shared" si="2"/>
        <v>2036</v>
      </c>
      <c r="R31" s="2">
        <f t="shared" si="2"/>
        <v>2037</v>
      </c>
      <c r="S31" s="2">
        <f t="shared" si="2"/>
        <v>2038</v>
      </c>
      <c r="T31" s="2">
        <f t="shared" si="2"/>
        <v>2039</v>
      </c>
      <c r="U31" s="2">
        <f t="shared" si="2"/>
        <v>2040</v>
      </c>
      <c r="V31" s="2">
        <f t="shared" si="2"/>
        <v>2041</v>
      </c>
      <c r="W31" s="2">
        <f t="shared" si="2"/>
        <v>2042</v>
      </c>
      <c r="X31" s="2">
        <f t="shared" si="2"/>
        <v>2043</v>
      </c>
      <c r="Y31" s="2">
        <f t="shared" si="2"/>
        <v>2044</v>
      </c>
      <c r="Z31" s="2">
        <f t="shared" si="2"/>
        <v>2045</v>
      </c>
      <c r="AA31" s="2">
        <f t="shared" si="2"/>
        <v>2046</v>
      </c>
      <c r="AB31" s="2">
        <f t="shared" si="2"/>
        <v>2047</v>
      </c>
      <c r="AC31" s="2">
        <f t="shared" si="2"/>
        <v>2048</v>
      </c>
      <c r="AD31" s="2">
        <f t="shared" si="2"/>
        <v>2049</v>
      </c>
      <c r="AE31" s="2">
        <f t="shared" si="2"/>
        <v>2050</v>
      </c>
      <c r="AF31" s="2">
        <f t="shared" si="2"/>
        <v>2051</v>
      </c>
      <c r="AG31" s="2">
        <f t="shared" si="2"/>
        <v>2052</v>
      </c>
      <c r="AH31" s="2">
        <f t="shared" si="2"/>
        <v>2053</v>
      </c>
      <c r="AI31" s="2">
        <f t="shared" si="2"/>
        <v>2054</v>
      </c>
      <c r="AJ31" s="2">
        <f t="shared" si="2"/>
        <v>2055</v>
      </c>
      <c r="AK31" s="2">
        <f t="shared" si="2"/>
        <v>2056</v>
      </c>
      <c r="AL31" s="2">
        <f t="shared" si="2"/>
        <v>2057</v>
      </c>
      <c r="AM31" s="2">
        <f t="shared" si="2"/>
        <v>2058</v>
      </c>
      <c r="AN31" s="2">
        <f t="shared" si="2"/>
        <v>2059</v>
      </c>
      <c r="AO31" s="2">
        <f t="shared" si="2"/>
        <v>2060</v>
      </c>
      <c r="AP31" s="163"/>
    </row>
    <row r="32" spans="2:42" x14ac:dyDescent="0.3">
      <c r="B32" s="6"/>
      <c r="C32" s="6"/>
      <c r="D32" s="6">
        <v>1</v>
      </c>
      <c r="E32" s="636" t="str">
        <f t="shared" ref="E32:E43" si="3">E8</f>
        <v>Capacity - PJM Market</v>
      </c>
      <c r="F32" s="302"/>
      <c r="G32" s="302"/>
      <c r="H32" s="302"/>
      <c r="I32" s="302">
        <v>0</v>
      </c>
      <c r="J32" s="302">
        <v>0</v>
      </c>
      <c r="K32" s="302">
        <v>0</v>
      </c>
      <c r="L32" s="302">
        <v>0</v>
      </c>
      <c r="M32" s="302">
        <v>0</v>
      </c>
      <c r="N32" s="302">
        <v>0</v>
      </c>
      <c r="O32" s="302">
        <v>0</v>
      </c>
      <c r="P32" s="302">
        <v>0</v>
      </c>
      <c r="Q32" s="302">
        <v>0</v>
      </c>
      <c r="R32" s="302">
        <v>0</v>
      </c>
      <c r="S32" s="302">
        <v>0</v>
      </c>
      <c r="T32" s="302">
        <v>0</v>
      </c>
      <c r="U32" s="302">
        <v>0</v>
      </c>
      <c r="V32" s="302">
        <v>0</v>
      </c>
      <c r="W32" s="302">
        <v>0</v>
      </c>
      <c r="X32" s="302">
        <v>0</v>
      </c>
      <c r="Y32" s="302">
        <v>0</v>
      </c>
      <c r="Z32" s="302">
        <v>0</v>
      </c>
      <c r="AA32" s="302">
        <v>0</v>
      </c>
      <c r="AB32" s="302">
        <v>0</v>
      </c>
      <c r="AC32" s="302">
        <v>0</v>
      </c>
      <c r="AD32" s="302">
        <v>0</v>
      </c>
      <c r="AE32" s="302">
        <v>0</v>
      </c>
      <c r="AF32" s="302">
        <v>0</v>
      </c>
      <c r="AG32" s="302">
        <v>0</v>
      </c>
      <c r="AH32" s="302">
        <v>0</v>
      </c>
      <c r="AI32" s="302">
        <v>0</v>
      </c>
      <c r="AJ32" s="302">
        <v>0</v>
      </c>
      <c r="AK32" s="302">
        <v>0</v>
      </c>
      <c r="AL32" s="302">
        <v>0</v>
      </c>
      <c r="AM32" s="302">
        <v>0</v>
      </c>
      <c r="AN32" s="302">
        <v>0</v>
      </c>
      <c r="AO32" s="302">
        <v>0</v>
      </c>
      <c r="AP32" s="163"/>
    </row>
    <row r="33" spans="2:42" x14ac:dyDescent="0.3">
      <c r="B33" s="6"/>
      <c r="C33" s="6"/>
      <c r="D33" s="6">
        <v>1</v>
      </c>
      <c r="E33" s="636" t="str">
        <f t="shared" si="3"/>
        <v>Energy Arbitrage - PJM Market</v>
      </c>
      <c r="F33" s="303"/>
      <c r="G33" s="304"/>
      <c r="H33" s="304"/>
      <c r="I33" s="304">
        <v>0</v>
      </c>
      <c r="J33" s="304">
        <v>0</v>
      </c>
      <c r="K33" s="304">
        <v>0</v>
      </c>
      <c r="L33" s="304">
        <v>0</v>
      </c>
      <c r="M33" s="304">
        <v>0</v>
      </c>
      <c r="N33" s="304">
        <v>0</v>
      </c>
      <c r="O33" s="304">
        <v>0</v>
      </c>
      <c r="P33" s="304">
        <v>0</v>
      </c>
      <c r="Q33" s="304">
        <v>0</v>
      </c>
      <c r="R33" s="304">
        <v>0</v>
      </c>
      <c r="S33" s="304">
        <v>0</v>
      </c>
      <c r="T33" s="304">
        <v>0</v>
      </c>
      <c r="U33" s="304">
        <v>0</v>
      </c>
      <c r="V33" s="304">
        <v>0</v>
      </c>
      <c r="W33" s="304">
        <v>0</v>
      </c>
      <c r="X33" s="304">
        <v>0</v>
      </c>
      <c r="Y33" s="304">
        <v>0</v>
      </c>
      <c r="Z33" s="304">
        <v>0</v>
      </c>
      <c r="AA33" s="304">
        <v>0</v>
      </c>
      <c r="AB33" s="304">
        <v>0</v>
      </c>
      <c r="AC33" s="304">
        <f t="shared" ref="AC33:AO40" si="4">AB33*1.02</f>
        <v>0</v>
      </c>
      <c r="AD33" s="304">
        <f t="shared" si="4"/>
        <v>0</v>
      </c>
      <c r="AE33" s="304">
        <f t="shared" si="4"/>
        <v>0</v>
      </c>
      <c r="AF33" s="304">
        <f t="shared" si="4"/>
        <v>0</v>
      </c>
      <c r="AG33" s="304">
        <f t="shared" si="4"/>
        <v>0</v>
      </c>
      <c r="AH33" s="304">
        <f t="shared" si="4"/>
        <v>0</v>
      </c>
      <c r="AI33" s="304">
        <f t="shared" si="4"/>
        <v>0</v>
      </c>
      <c r="AJ33" s="304">
        <f t="shared" si="4"/>
        <v>0</v>
      </c>
      <c r="AK33" s="304">
        <f t="shared" si="4"/>
        <v>0</v>
      </c>
      <c r="AL33" s="304">
        <f t="shared" si="4"/>
        <v>0</v>
      </c>
      <c r="AM33" s="304">
        <f t="shared" si="4"/>
        <v>0</v>
      </c>
      <c r="AN33" s="304">
        <f t="shared" si="4"/>
        <v>0</v>
      </c>
      <c r="AO33" s="304">
        <f t="shared" si="4"/>
        <v>0</v>
      </c>
      <c r="AP33" s="163"/>
    </row>
    <row r="34" spans="2:42" x14ac:dyDescent="0.3">
      <c r="B34" s="6"/>
      <c r="C34" s="6"/>
      <c r="D34" s="6">
        <v>1</v>
      </c>
      <c r="E34" s="636" t="str">
        <f t="shared" si="3"/>
        <v>Spin- PJM Market</v>
      </c>
      <c r="F34" s="303"/>
      <c r="G34" s="304"/>
      <c r="H34" s="304"/>
      <c r="I34" s="304">
        <v>0</v>
      </c>
      <c r="J34" s="304">
        <v>0</v>
      </c>
      <c r="K34" s="304">
        <v>0</v>
      </c>
      <c r="L34" s="304">
        <v>0</v>
      </c>
      <c r="M34" s="304">
        <v>0</v>
      </c>
      <c r="N34" s="304">
        <v>0</v>
      </c>
      <c r="O34" s="304">
        <v>0</v>
      </c>
      <c r="P34" s="304">
        <v>0</v>
      </c>
      <c r="Q34" s="304">
        <v>0</v>
      </c>
      <c r="R34" s="304">
        <v>0</v>
      </c>
      <c r="S34" s="304">
        <v>0</v>
      </c>
      <c r="T34" s="304">
        <v>0</v>
      </c>
      <c r="U34" s="304">
        <v>0</v>
      </c>
      <c r="V34" s="304">
        <v>0</v>
      </c>
      <c r="W34" s="304">
        <v>0</v>
      </c>
      <c r="X34" s="304">
        <v>0</v>
      </c>
      <c r="Y34" s="304">
        <v>0</v>
      </c>
      <c r="Z34" s="304">
        <v>0</v>
      </c>
      <c r="AA34" s="304">
        <v>0</v>
      </c>
      <c r="AB34" s="304">
        <v>0</v>
      </c>
      <c r="AC34" s="304">
        <f t="shared" si="4"/>
        <v>0</v>
      </c>
      <c r="AD34" s="304">
        <f t="shared" si="4"/>
        <v>0</v>
      </c>
      <c r="AE34" s="304">
        <f t="shared" si="4"/>
        <v>0</v>
      </c>
      <c r="AF34" s="304">
        <f t="shared" si="4"/>
        <v>0</v>
      </c>
      <c r="AG34" s="304">
        <f t="shared" si="4"/>
        <v>0</v>
      </c>
      <c r="AH34" s="304">
        <f t="shared" si="4"/>
        <v>0</v>
      </c>
      <c r="AI34" s="304">
        <f t="shared" si="4"/>
        <v>0</v>
      </c>
      <c r="AJ34" s="304">
        <f t="shared" si="4"/>
        <v>0</v>
      </c>
      <c r="AK34" s="304">
        <f t="shared" si="4"/>
        <v>0</v>
      </c>
      <c r="AL34" s="304">
        <f t="shared" si="4"/>
        <v>0</v>
      </c>
      <c r="AM34" s="304">
        <f t="shared" si="4"/>
        <v>0</v>
      </c>
      <c r="AN34" s="304">
        <f t="shared" si="4"/>
        <v>0</v>
      </c>
      <c r="AO34" s="304">
        <f t="shared" si="4"/>
        <v>0</v>
      </c>
      <c r="AP34" s="163"/>
    </row>
    <row r="35" spans="2:42" x14ac:dyDescent="0.3">
      <c r="B35" s="6"/>
      <c r="C35" s="6"/>
      <c r="D35" s="6">
        <v>1</v>
      </c>
      <c r="E35" s="636" t="str">
        <f t="shared" si="3"/>
        <v>Non-Spin - PJM Market</v>
      </c>
      <c r="F35" s="303"/>
      <c r="G35" s="304"/>
      <c r="H35" s="304"/>
      <c r="I35" s="304">
        <v>0</v>
      </c>
      <c r="J35" s="304">
        <v>0</v>
      </c>
      <c r="K35" s="304">
        <v>0</v>
      </c>
      <c r="L35" s="304">
        <v>0</v>
      </c>
      <c r="M35" s="304">
        <v>0</v>
      </c>
      <c r="N35" s="304">
        <v>0</v>
      </c>
      <c r="O35" s="304">
        <v>0</v>
      </c>
      <c r="P35" s="304">
        <v>0</v>
      </c>
      <c r="Q35" s="304">
        <v>0</v>
      </c>
      <c r="R35" s="304">
        <v>0</v>
      </c>
      <c r="S35" s="304">
        <v>0</v>
      </c>
      <c r="T35" s="304">
        <v>0</v>
      </c>
      <c r="U35" s="304">
        <v>0</v>
      </c>
      <c r="V35" s="304">
        <v>0</v>
      </c>
      <c r="W35" s="304">
        <v>0</v>
      </c>
      <c r="X35" s="304">
        <v>0</v>
      </c>
      <c r="Y35" s="304">
        <v>0</v>
      </c>
      <c r="Z35" s="304">
        <v>0</v>
      </c>
      <c r="AA35" s="304">
        <v>0</v>
      </c>
      <c r="AB35" s="304">
        <v>0</v>
      </c>
      <c r="AC35" s="304">
        <f t="shared" si="4"/>
        <v>0</v>
      </c>
      <c r="AD35" s="304">
        <f t="shared" si="4"/>
        <v>0</v>
      </c>
      <c r="AE35" s="304">
        <f t="shared" si="4"/>
        <v>0</v>
      </c>
      <c r="AF35" s="304">
        <f t="shared" si="4"/>
        <v>0</v>
      </c>
      <c r="AG35" s="304">
        <f t="shared" si="4"/>
        <v>0</v>
      </c>
      <c r="AH35" s="304">
        <f t="shared" si="4"/>
        <v>0</v>
      </c>
      <c r="AI35" s="304">
        <f t="shared" si="4"/>
        <v>0</v>
      </c>
      <c r="AJ35" s="304">
        <f t="shared" si="4"/>
        <v>0</v>
      </c>
      <c r="AK35" s="304">
        <f t="shared" si="4"/>
        <v>0</v>
      </c>
      <c r="AL35" s="304">
        <f t="shared" si="4"/>
        <v>0</v>
      </c>
      <c r="AM35" s="304">
        <f t="shared" si="4"/>
        <v>0</v>
      </c>
      <c r="AN35" s="304">
        <f t="shared" si="4"/>
        <v>0</v>
      </c>
      <c r="AO35" s="304">
        <f t="shared" si="4"/>
        <v>0</v>
      </c>
      <c r="AP35" s="163"/>
    </row>
    <row r="36" spans="2:42" x14ac:dyDescent="0.3">
      <c r="B36" s="6"/>
      <c r="C36" s="6"/>
      <c r="D36" s="6">
        <v>1</v>
      </c>
      <c r="E36" s="636" t="str">
        <f t="shared" si="3"/>
        <v>Regulation - PJM Market</v>
      </c>
      <c r="F36" s="303"/>
      <c r="G36" s="304"/>
      <c r="H36" s="304"/>
      <c r="I36" s="304">
        <v>0</v>
      </c>
      <c r="J36" s="304">
        <v>0</v>
      </c>
      <c r="K36" s="304">
        <v>0</v>
      </c>
      <c r="L36" s="304">
        <v>0</v>
      </c>
      <c r="M36" s="304">
        <v>0</v>
      </c>
      <c r="N36" s="304">
        <v>0</v>
      </c>
      <c r="O36" s="304">
        <v>0</v>
      </c>
      <c r="P36" s="304">
        <v>0</v>
      </c>
      <c r="Q36" s="304">
        <v>0</v>
      </c>
      <c r="R36" s="304">
        <v>0</v>
      </c>
      <c r="S36" s="304">
        <v>0</v>
      </c>
      <c r="T36" s="304">
        <v>0</v>
      </c>
      <c r="U36" s="304">
        <v>0</v>
      </c>
      <c r="V36" s="304">
        <v>0</v>
      </c>
      <c r="W36" s="304">
        <v>0</v>
      </c>
      <c r="X36" s="304">
        <v>0</v>
      </c>
      <c r="Y36" s="304">
        <v>0</v>
      </c>
      <c r="Z36" s="304">
        <v>0</v>
      </c>
      <c r="AA36" s="304">
        <v>0</v>
      </c>
      <c r="AB36" s="304">
        <v>0</v>
      </c>
      <c r="AC36" s="304">
        <f t="shared" si="4"/>
        <v>0</v>
      </c>
      <c r="AD36" s="304">
        <f t="shared" si="4"/>
        <v>0</v>
      </c>
      <c r="AE36" s="304">
        <f t="shared" si="4"/>
        <v>0</v>
      </c>
      <c r="AF36" s="304">
        <f t="shared" si="4"/>
        <v>0</v>
      </c>
      <c r="AG36" s="304">
        <f t="shared" si="4"/>
        <v>0</v>
      </c>
      <c r="AH36" s="304">
        <f t="shared" si="4"/>
        <v>0</v>
      </c>
      <c r="AI36" s="304">
        <f t="shared" si="4"/>
        <v>0</v>
      </c>
      <c r="AJ36" s="304">
        <f t="shared" si="4"/>
        <v>0</v>
      </c>
      <c r="AK36" s="304">
        <f t="shared" si="4"/>
        <v>0</v>
      </c>
      <c r="AL36" s="304">
        <f t="shared" si="4"/>
        <v>0</v>
      </c>
      <c r="AM36" s="304">
        <f t="shared" si="4"/>
        <v>0</v>
      </c>
      <c r="AN36" s="304">
        <f t="shared" si="4"/>
        <v>0</v>
      </c>
      <c r="AO36" s="304">
        <f t="shared" si="4"/>
        <v>0</v>
      </c>
      <c r="AP36" s="163"/>
    </row>
    <row r="37" spans="2:42" x14ac:dyDescent="0.3">
      <c r="B37" s="6"/>
      <c r="C37" s="6"/>
      <c r="D37" s="6">
        <v>1</v>
      </c>
      <c r="E37" s="636" t="str">
        <f t="shared" si="3"/>
        <v>Incurred Energy Charges</v>
      </c>
      <c r="F37" s="303"/>
      <c r="G37" s="304"/>
      <c r="H37" s="304"/>
      <c r="I37" s="304">
        <v>0</v>
      </c>
      <c r="J37" s="304">
        <v>0</v>
      </c>
      <c r="K37" s="304">
        <v>0</v>
      </c>
      <c r="L37" s="304">
        <v>0</v>
      </c>
      <c r="M37" s="304">
        <v>0</v>
      </c>
      <c r="N37" s="304">
        <v>0</v>
      </c>
      <c r="O37" s="304">
        <v>0</v>
      </c>
      <c r="P37" s="304">
        <v>0</v>
      </c>
      <c r="Q37" s="304">
        <v>0</v>
      </c>
      <c r="R37" s="304">
        <v>0</v>
      </c>
      <c r="S37" s="304">
        <v>0</v>
      </c>
      <c r="T37" s="304">
        <v>0</v>
      </c>
      <c r="U37" s="304">
        <v>0</v>
      </c>
      <c r="V37" s="304">
        <v>0</v>
      </c>
      <c r="W37" s="304">
        <v>0</v>
      </c>
      <c r="X37" s="304">
        <v>0</v>
      </c>
      <c r="Y37" s="304">
        <v>0</v>
      </c>
      <c r="Z37" s="304">
        <v>0</v>
      </c>
      <c r="AA37" s="304">
        <v>0</v>
      </c>
      <c r="AB37" s="304">
        <v>0</v>
      </c>
      <c r="AC37" s="304">
        <f t="shared" si="4"/>
        <v>0</v>
      </c>
      <c r="AD37" s="304">
        <f t="shared" si="4"/>
        <v>0</v>
      </c>
      <c r="AE37" s="304">
        <f t="shared" si="4"/>
        <v>0</v>
      </c>
      <c r="AF37" s="304">
        <f t="shared" si="4"/>
        <v>0</v>
      </c>
      <c r="AG37" s="304">
        <f t="shared" si="4"/>
        <v>0</v>
      </c>
      <c r="AH37" s="304">
        <f t="shared" si="4"/>
        <v>0</v>
      </c>
      <c r="AI37" s="304">
        <f t="shared" si="4"/>
        <v>0</v>
      </c>
      <c r="AJ37" s="304">
        <f t="shared" si="4"/>
        <v>0</v>
      </c>
      <c r="AK37" s="304">
        <f t="shared" si="4"/>
        <v>0</v>
      </c>
      <c r="AL37" s="304">
        <f t="shared" si="4"/>
        <v>0</v>
      </c>
      <c r="AM37" s="304">
        <f t="shared" si="4"/>
        <v>0</v>
      </c>
      <c r="AN37" s="304">
        <f t="shared" si="4"/>
        <v>0</v>
      </c>
      <c r="AO37" s="304">
        <f t="shared" si="4"/>
        <v>0</v>
      </c>
      <c r="AP37" s="163"/>
    </row>
    <row r="38" spans="2:42" x14ac:dyDescent="0.3">
      <c r="B38" s="6"/>
      <c r="C38" s="6"/>
      <c r="D38" s="6">
        <v>1</v>
      </c>
      <c r="E38" s="636" t="str">
        <f t="shared" si="3"/>
        <v>As Used Demand Charges</v>
      </c>
      <c r="F38" s="303"/>
      <c r="G38" s="304"/>
      <c r="H38" s="304"/>
      <c r="I38" s="304">
        <v>0</v>
      </c>
      <c r="J38" s="304">
        <v>0</v>
      </c>
      <c r="K38" s="304">
        <v>0</v>
      </c>
      <c r="L38" s="304">
        <v>0</v>
      </c>
      <c r="M38" s="304">
        <v>0</v>
      </c>
      <c r="N38" s="304">
        <v>0</v>
      </c>
      <c r="O38" s="304">
        <v>0</v>
      </c>
      <c r="P38" s="304">
        <v>0</v>
      </c>
      <c r="Q38" s="304">
        <v>0</v>
      </c>
      <c r="R38" s="304">
        <v>0</v>
      </c>
      <c r="S38" s="304">
        <v>0</v>
      </c>
      <c r="T38" s="304">
        <v>0</v>
      </c>
      <c r="U38" s="304">
        <v>0</v>
      </c>
      <c r="V38" s="304">
        <v>0</v>
      </c>
      <c r="W38" s="304">
        <v>0</v>
      </c>
      <c r="X38" s="304">
        <v>0</v>
      </c>
      <c r="Y38" s="304">
        <v>0</v>
      </c>
      <c r="Z38" s="304">
        <v>0</v>
      </c>
      <c r="AA38" s="304">
        <v>0</v>
      </c>
      <c r="AB38" s="304">
        <v>0</v>
      </c>
      <c r="AC38" s="304">
        <f t="shared" si="4"/>
        <v>0</v>
      </c>
      <c r="AD38" s="304">
        <f t="shared" si="4"/>
        <v>0</v>
      </c>
      <c r="AE38" s="304">
        <f t="shared" si="4"/>
        <v>0</v>
      </c>
      <c r="AF38" s="304">
        <f t="shared" si="4"/>
        <v>0</v>
      </c>
      <c r="AG38" s="304">
        <f t="shared" si="4"/>
        <v>0</v>
      </c>
      <c r="AH38" s="304">
        <f t="shared" si="4"/>
        <v>0</v>
      </c>
      <c r="AI38" s="304">
        <f t="shared" si="4"/>
        <v>0</v>
      </c>
      <c r="AJ38" s="304">
        <f t="shared" si="4"/>
        <v>0</v>
      </c>
      <c r="AK38" s="304">
        <f t="shared" si="4"/>
        <v>0</v>
      </c>
      <c r="AL38" s="304">
        <f t="shared" si="4"/>
        <v>0</v>
      </c>
      <c r="AM38" s="304">
        <f t="shared" si="4"/>
        <v>0</v>
      </c>
      <c r="AN38" s="304">
        <f t="shared" si="4"/>
        <v>0</v>
      </c>
      <c r="AO38" s="304">
        <f t="shared" si="4"/>
        <v>0</v>
      </c>
      <c r="AP38" s="163"/>
    </row>
    <row r="39" spans="2:42" x14ac:dyDescent="0.3">
      <c r="B39" s="6"/>
      <c r="C39" s="6"/>
      <c r="D39" s="6">
        <v>1</v>
      </c>
      <c r="E39" s="636" t="str">
        <f t="shared" si="3"/>
        <v>Contract Demand Charges  Fixed</v>
      </c>
      <c r="F39" s="303"/>
      <c r="G39" s="304"/>
      <c r="H39" s="304"/>
      <c r="I39" s="304">
        <v>0</v>
      </c>
      <c r="J39" s="304">
        <v>0</v>
      </c>
      <c r="K39" s="304">
        <v>0</v>
      </c>
      <c r="L39" s="304">
        <v>0</v>
      </c>
      <c r="M39" s="304">
        <v>0</v>
      </c>
      <c r="N39" s="304">
        <v>0</v>
      </c>
      <c r="O39" s="304">
        <v>0</v>
      </c>
      <c r="P39" s="304">
        <v>0</v>
      </c>
      <c r="Q39" s="304">
        <v>0</v>
      </c>
      <c r="R39" s="304">
        <v>0</v>
      </c>
      <c r="S39" s="304">
        <v>0</v>
      </c>
      <c r="T39" s="304">
        <v>0</v>
      </c>
      <c r="U39" s="304">
        <v>0</v>
      </c>
      <c r="V39" s="304">
        <v>0</v>
      </c>
      <c r="W39" s="304">
        <v>0</v>
      </c>
      <c r="X39" s="304">
        <v>0</v>
      </c>
      <c r="Y39" s="304">
        <v>0</v>
      </c>
      <c r="Z39" s="304">
        <v>0</v>
      </c>
      <c r="AA39" s="304">
        <v>0</v>
      </c>
      <c r="AB39" s="304">
        <v>0</v>
      </c>
      <c r="AC39" s="304">
        <f t="shared" si="4"/>
        <v>0</v>
      </c>
      <c r="AD39" s="304">
        <f t="shared" si="4"/>
        <v>0</v>
      </c>
      <c r="AE39" s="304">
        <f t="shared" si="4"/>
        <v>0</v>
      </c>
      <c r="AF39" s="304">
        <f t="shared" si="4"/>
        <v>0</v>
      </c>
      <c r="AG39" s="304">
        <f t="shared" si="4"/>
        <v>0</v>
      </c>
      <c r="AH39" s="304">
        <f t="shared" si="4"/>
        <v>0</v>
      </c>
      <c r="AI39" s="304">
        <f t="shared" si="4"/>
        <v>0</v>
      </c>
      <c r="AJ39" s="304">
        <f t="shared" si="4"/>
        <v>0</v>
      </c>
      <c r="AK39" s="304">
        <f t="shared" si="4"/>
        <v>0</v>
      </c>
      <c r="AL39" s="304">
        <f t="shared" si="4"/>
        <v>0</v>
      </c>
      <c r="AM39" s="304">
        <f t="shared" si="4"/>
        <v>0</v>
      </c>
      <c r="AN39" s="304">
        <f t="shared" si="4"/>
        <v>0</v>
      </c>
      <c r="AO39" s="304">
        <f t="shared" si="4"/>
        <v>0</v>
      </c>
      <c r="AP39" s="163"/>
    </row>
    <row r="40" spans="2:42" x14ac:dyDescent="0.3">
      <c r="B40" s="6"/>
      <c r="C40" s="6"/>
      <c r="D40" s="6">
        <v>1</v>
      </c>
      <c r="E40" s="636" t="str">
        <f t="shared" si="3"/>
        <v>Customer Charges/ Fixed Charges</v>
      </c>
      <c r="F40" s="303"/>
      <c r="G40" s="304"/>
      <c r="H40" s="304"/>
      <c r="I40" s="304">
        <v>0</v>
      </c>
      <c r="J40" s="304">
        <v>0</v>
      </c>
      <c r="K40" s="304">
        <v>0</v>
      </c>
      <c r="L40" s="304">
        <v>0</v>
      </c>
      <c r="M40" s="304">
        <v>0</v>
      </c>
      <c r="N40" s="304">
        <v>0</v>
      </c>
      <c r="O40" s="304">
        <v>0</v>
      </c>
      <c r="P40" s="304">
        <v>0</v>
      </c>
      <c r="Q40" s="304">
        <v>0</v>
      </c>
      <c r="R40" s="304">
        <v>0</v>
      </c>
      <c r="S40" s="304">
        <v>0</v>
      </c>
      <c r="T40" s="304">
        <v>0</v>
      </c>
      <c r="U40" s="304">
        <v>0</v>
      </c>
      <c r="V40" s="304">
        <v>0</v>
      </c>
      <c r="W40" s="304">
        <v>0</v>
      </c>
      <c r="X40" s="304">
        <v>0</v>
      </c>
      <c r="Y40" s="304">
        <v>0</v>
      </c>
      <c r="Z40" s="304">
        <v>0</v>
      </c>
      <c r="AA40" s="304">
        <v>0</v>
      </c>
      <c r="AB40" s="304">
        <v>0</v>
      </c>
      <c r="AC40" s="304">
        <f t="shared" si="4"/>
        <v>0</v>
      </c>
      <c r="AD40" s="304">
        <f t="shared" si="4"/>
        <v>0</v>
      </c>
      <c r="AE40" s="304">
        <f t="shared" si="4"/>
        <v>0</v>
      </c>
      <c r="AF40" s="304">
        <f t="shared" si="4"/>
        <v>0</v>
      </c>
      <c r="AG40" s="304">
        <f t="shared" si="4"/>
        <v>0</v>
      </c>
      <c r="AH40" s="304">
        <f t="shared" si="4"/>
        <v>0</v>
      </c>
      <c r="AI40" s="304">
        <f t="shared" si="4"/>
        <v>0</v>
      </c>
      <c r="AJ40" s="304">
        <f t="shared" si="4"/>
        <v>0</v>
      </c>
      <c r="AK40" s="304">
        <f t="shared" si="4"/>
        <v>0</v>
      </c>
      <c r="AL40" s="304">
        <f t="shared" si="4"/>
        <v>0</v>
      </c>
      <c r="AM40" s="304">
        <f t="shared" si="4"/>
        <v>0</v>
      </c>
      <c r="AN40" s="304">
        <f t="shared" si="4"/>
        <v>0</v>
      </c>
      <c r="AO40" s="304">
        <f t="shared" si="4"/>
        <v>0</v>
      </c>
      <c r="AP40" s="163"/>
    </row>
    <row r="41" spans="2:42" x14ac:dyDescent="0.3">
      <c r="B41" s="6"/>
      <c r="C41" s="6"/>
      <c r="D41" s="6">
        <v>1</v>
      </c>
      <c r="E41" s="637" t="str">
        <f t="shared" si="3"/>
        <v>Energy Savings</v>
      </c>
      <c r="F41" s="303"/>
      <c r="G41" s="304"/>
      <c r="H41" s="304"/>
      <c r="I41" s="304">
        <v>319.28756479459946</v>
      </c>
      <c r="J41" s="304">
        <v>296.09913291968599</v>
      </c>
      <c r="K41" s="304">
        <v>317.96640465024109</v>
      </c>
      <c r="L41" s="617">
        <v>338.68187496330421</v>
      </c>
      <c r="M41" s="617">
        <v>346.02476334262559</v>
      </c>
      <c r="N41" s="617">
        <v>352.54044767348444</v>
      </c>
      <c r="O41" s="617">
        <v>359.05613200434328</v>
      </c>
      <c r="P41" s="617">
        <v>365.57181633520213</v>
      </c>
      <c r="Q41" s="617">
        <v>372.08750066606098</v>
      </c>
      <c r="R41" s="617">
        <v>378.60318499691988</v>
      </c>
      <c r="S41" s="617">
        <v>400.48421245641009</v>
      </c>
      <c r="T41" s="617">
        <v>422.3652399159003</v>
      </c>
      <c r="U41" s="617">
        <v>444.24626737539052</v>
      </c>
      <c r="V41" s="617">
        <v>466.12729483488073</v>
      </c>
      <c r="W41" s="617">
        <v>488.00832229437106</v>
      </c>
      <c r="X41" s="617">
        <v>501.72759071026144</v>
      </c>
      <c r="Y41" s="617">
        <v>515.44685912615182</v>
      </c>
      <c r="Z41" s="617">
        <v>529.1661275420422</v>
      </c>
      <c r="AA41" s="617">
        <v>542.88539595793259</v>
      </c>
      <c r="AB41" s="304">
        <v>556.60466437382297</v>
      </c>
      <c r="AC41" s="304"/>
      <c r="AD41" s="304"/>
      <c r="AE41" s="304"/>
      <c r="AF41" s="304"/>
      <c r="AG41" s="304"/>
      <c r="AH41" s="304"/>
      <c r="AI41" s="304"/>
      <c r="AJ41" s="304"/>
      <c r="AK41" s="304"/>
      <c r="AL41" s="304"/>
      <c r="AM41" s="304"/>
      <c r="AN41" s="304"/>
      <c r="AO41" s="304"/>
      <c r="AP41" s="163"/>
    </row>
    <row r="42" spans="2:42" x14ac:dyDescent="0.3">
      <c r="B42" s="6"/>
      <c r="C42" s="6"/>
      <c r="D42" s="6">
        <v>1</v>
      </c>
      <c r="E42" s="637" t="str">
        <f t="shared" si="3"/>
        <v xml:space="preserve">Demand Savings </v>
      </c>
      <c r="F42" s="303"/>
      <c r="G42" s="304"/>
      <c r="H42" s="304"/>
      <c r="I42" s="304">
        <v>0</v>
      </c>
      <c r="J42" s="304">
        <v>0</v>
      </c>
      <c r="K42" s="304">
        <v>0</v>
      </c>
      <c r="L42" s="617">
        <v>0</v>
      </c>
      <c r="M42" s="617">
        <v>0</v>
      </c>
      <c r="N42" s="617">
        <v>0</v>
      </c>
      <c r="O42" s="617">
        <v>0</v>
      </c>
      <c r="P42" s="617">
        <v>0</v>
      </c>
      <c r="Q42" s="617">
        <v>0</v>
      </c>
      <c r="R42" s="617">
        <v>0</v>
      </c>
      <c r="S42" s="617">
        <v>0</v>
      </c>
      <c r="T42" s="617">
        <v>0</v>
      </c>
      <c r="U42" s="617">
        <v>0</v>
      </c>
      <c r="V42" s="617">
        <v>0</v>
      </c>
      <c r="W42" s="617">
        <v>0</v>
      </c>
      <c r="X42" s="617">
        <v>0</v>
      </c>
      <c r="Y42" s="617">
        <v>0</v>
      </c>
      <c r="Z42" s="617">
        <v>0</v>
      </c>
      <c r="AA42" s="617">
        <v>0</v>
      </c>
      <c r="AB42" s="304">
        <v>0</v>
      </c>
      <c r="AC42" s="304">
        <v>0</v>
      </c>
      <c r="AD42" s="304">
        <v>0</v>
      </c>
      <c r="AE42" s="304">
        <v>0</v>
      </c>
      <c r="AF42" s="304">
        <v>0</v>
      </c>
      <c r="AG42" s="304">
        <v>0</v>
      </c>
      <c r="AH42" s="304">
        <v>0</v>
      </c>
      <c r="AI42" s="304">
        <v>0</v>
      </c>
      <c r="AJ42" s="304">
        <v>0</v>
      </c>
      <c r="AK42" s="304">
        <v>0</v>
      </c>
      <c r="AL42" s="304">
        <v>0</v>
      </c>
      <c r="AM42" s="304">
        <v>0</v>
      </c>
      <c r="AN42" s="304">
        <v>0</v>
      </c>
      <c r="AO42" s="304">
        <v>0</v>
      </c>
      <c r="AP42" s="163"/>
    </row>
    <row r="43" spans="2:42" x14ac:dyDescent="0.3">
      <c r="B43" s="6"/>
      <c r="C43" s="6"/>
      <c r="D43" s="6">
        <v>1</v>
      </c>
      <c r="E43" s="638" t="str">
        <f t="shared" si="3"/>
        <v>Energy Generation - Export</v>
      </c>
      <c r="F43" s="303"/>
      <c r="G43" s="304"/>
      <c r="H43" s="304"/>
      <c r="I43" s="304">
        <v>0</v>
      </c>
      <c r="J43" s="304">
        <v>0</v>
      </c>
      <c r="K43" s="304">
        <v>0</v>
      </c>
      <c r="L43" s="617">
        <v>0</v>
      </c>
      <c r="M43" s="617">
        <v>0</v>
      </c>
      <c r="N43" s="617">
        <v>0</v>
      </c>
      <c r="O43" s="617">
        <v>0</v>
      </c>
      <c r="P43" s="617">
        <v>0</v>
      </c>
      <c r="Q43" s="617">
        <v>0</v>
      </c>
      <c r="R43" s="617">
        <v>0</v>
      </c>
      <c r="S43" s="617">
        <v>0</v>
      </c>
      <c r="T43" s="617">
        <v>0</v>
      </c>
      <c r="U43" s="617">
        <v>0</v>
      </c>
      <c r="V43" s="617">
        <v>0</v>
      </c>
      <c r="W43" s="617">
        <v>0</v>
      </c>
      <c r="X43" s="617">
        <v>0</v>
      </c>
      <c r="Y43" s="617">
        <v>0</v>
      </c>
      <c r="Z43" s="617">
        <v>0</v>
      </c>
      <c r="AA43" s="617">
        <v>0</v>
      </c>
      <c r="AB43" s="304">
        <v>0</v>
      </c>
      <c r="AC43" s="304">
        <v>0</v>
      </c>
      <c r="AD43" s="304">
        <v>0</v>
      </c>
      <c r="AE43" s="304">
        <v>0</v>
      </c>
      <c r="AF43" s="304">
        <v>0</v>
      </c>
      <c r="AG43" s="304">
        <v>0</v>
      </c>
      <c r="AH43" s="304">
        <v>0</v>
      </c>
      <c r="AI43" s="304">
        <v>0</v>
      </c>
      <c r="AJ43" s="304">
        <v>0</v>
      </c>
      <c r="AK43" s="304">
        <v>0</v>
      </c>
      <c r="AL43" s="304">
        <v>0</v>
      </c>
      <c r="AM43" s="304">
        <v>0</v>
      </c>
      <c r="AN43" s="304">
        <v>0</v>
      </c>
      <c r="AO43" s="304">
        <v>0</v>
      </c>
      <c r="AP43" s="163"/>
    </row>
    <row r="44" spans="2:42" x14ac:dyDescent="0.3">
      <c r="B44" s="6"/>
      <c r="C44" s="6"/>
      <c r="D44" s="6">
        <v>1</v>
      </c>
      <c r="E44" s="638" t="str">
        <f t="shared" ref="E44:E49" si="5">E20</f>
        <v>Generation Capacity</v>
      </c>
      <c r="F44" s="303"/>
      <c r="G44" s="304"/>
      <c r="H44" s="304"/>
      <c r="I44" s="304">
        <v>364.57937608314802</v>
      </c>
      <c r="J44" s="304">
        <v>364.57937608314802</v>
      </c>
      <c r="K44" s="304">
        <v>291.6635008665184</v>
      </c>
      <c r="L44" s="617">
        <v>291.6635008665184</v>
      </c>
      <c r="M44" s="617">
        <v>291.6635008665184</v>
      </c>
      <c r="N44" s="617">
        <v>291.6635008665184</v>
      </c>
      <c r="O44" s="617">
        <v>291.6635008665184</v>
      </c>
      <c r="P44" s="617">
        <v>291.6635008665184</v>
      </c>
      <c r="Q44" s="617">
        <v>291.6635008665184</v>
      </c>
      <c r="R44" s="617">
        <v>291.6635008665184</v>
      </c>
      <c r="S44" s="617">
        <v>300.36661668606462</v>
      </c>
      <c r="T44" s="617">
        <v>309.06973250561083</v>
      </c>
      <c r="U44" s="617">
        <v>317.77284832515704</v>
      </c>
      <c r="V44" s="617">
        <v>326.47596414470325</v>
      </c>
      <c r="W44" s="617">
        <v>335.17907996424947</v>
      </c>
      <c r="X44" s="617">
        <v>344.50751859096465</v>
      </c>
      <c r="Y44" s="617">
        <v>353.83595721767983</v>
      </c>
      <c r="Z44" s="617">
        <v>363.16439584439507</v>
      </c>
      <c r="AA44" s="617">
        <v>372.49283447111026</v>
      </c>
      <c r="AB44" s="304">
        <v>381.82127309782544</v>
      </c>
      <c r="AC44" s="304">
        <v>0</v>
      </c>
      <c r="AD44" s="304">
        <v>0</v>
      </c>
      <c r="AE44" s="304">
        <v>0</v>
      </c>
      <c r="AF44" s="304">
        <v>0</v>
      </c>
      <c r="AG44" s="304">
        <v>0</v>
      </c>
      <c r="AH44" s="304">
        <v>0</v>
      </c>
      <c r="AI44" s="304">
        <v>0</v>
      </c>
      <c r="AJ44" s="304">
        <v>0</v>
      </c>
      <c r="AK44" s="304">
        <v>0</v>
      </c>
      <c r="AL44" s="304">
        <v>0</v>
      </c>
      <c r="AM44" s="304">
        <v>0</v>
      </c>
      <c r="AN44" s="304">
        <v>0</v>
      </c>
      <c r="AO44" s="304">
        <v>0</v>
      </c>
      <c r="AP44" s="163"/>
    </row>
    <row r="45" spans="2:42" x14ac:dyDescent="0.3">
      <c r="B45" s="6"/>
      <c r="C45" s="6"/>
      <c r="D45" s="6">
        <v>1</v>
      </c>
      <c r="E45" s="638" t="str">
        <f t="shared" si="5"/>
        <v>Transmission Capacity</v>
      </c>
      <c r="F45" s="303"/>
      <c r="G45" s="304"/>
      <c r="H45" s="304"/>
      <c r="I45" s="304">
        <v>122.16203886869096</v>
      </c>
      <c r="J45" s="304">
        <v>122.16203886869096</v>
      </c>
      <c r="K45" s="304">
        <v>97.729631094952751</v>
      </c>
      <c r="L45" s="617">
        <v>97.729631094952751</v>
      </c>
      <c r="M45" s="617">
        <v>97.729631094952751</v>
      </c>
      <c r="N45" s="617">
        <v>97.729631094952751</v>
      </c>
      <c r="O45" s="617">
        <v>97.729631094952751</v>
      </c>
      <c r="P45" s="617">
        <v>97.729631094952751</v>
      </c>
      <c r="Q45" s="617">
        <v>97.729631094952751</v>
      </c>
      <c r="R45" s="617">
        <v>97.729631094952751</v>
      </c>
      <c r="S45" s="617">
        <v>99.247468734139431</v>
      </c>
      <c r="T45" s="617">
        <v>100.7653063733261</v>
      </c>
      <c r="U45" s="617">
        <v>102.28314401251278</v>
      </c>
      <c r="V45" s="617">
        <v>103.80098165169944</v>
      </c>
      <c r="W45" s="617">
        <v>105.31881929088613</v>
      </c>
      <c r="X45" s="617">
        <v>108.24996923645531</v>
      </c>
      <c r="Y45" s="617">
        <v>111.1811191820245</v>
      </c>
      <c r="Z45" s="617">
        <v>114.11226912759369</v>
      </c>
      <c r="AA45" s="617">
        <v>117.04341907316287</v>
      </c>
      <c r="AB45" s="304">
        <v>119.97456901873205</v>
      </c>
      <c r="AC45" s="304">
        <v>0</v>
      </c>
      <c r="AD45" s="304">
        <v>0</v>
      </c>
      <c r="AE45" s="304">
        <v>0</v>
      </c>
      <c r="AF45" s="304">
        <v>0</v>
      </c>
      <c r="AG45" s="304">
        <v>0</v>
      </c>
      <c r="AH45" s="304">
        <v>0</v>
      </c>
      <c r="AI45" s="304">
        <v>0</v>
      </c>
      <c r="AJ45" s="304">
        <v>0</v>
      </c>
      <c r="AK45" s="304">
        <v>0</v>
      </c>
      <c r="AL45" s="304">
        <v>0</v>
      </c>
      <c r="AM45" s="304">
        <v>0</v>
      </c>
      <c r="AN45" s="304">
        <v>0</v>
      </c>
      <c r="AO45" s="304">
        <v>0</v>
      </c>
      <c r="AP45" s="163"/>
    </row>
    <row r="46" spans="2:42" x14ac:dyDescent="0.3">
      <c r="B46" s="6"/>
      <c r="C46" s="6"/>
      <c r="D46" s="6">
        <v>1</v>
      </c>
      <c r="E46" s="638" t="str">
        <f t="shared" si="5"/>
        <v>Distribution Capacity</v>
      </c>
      <c r="F46" s="303"/>
      <c r="G46" s="304"/>
      <c r="H46" s="304"/>
      <c r="I46" s="304">
        <v>30.114704533615988</v>
      </c>
      <c r="J46" s="304">
        <v>30.114704533615992</v>
      </c>
      <c r="K46" s="304">
        <v>23.680641380700092</v>
      </c>
      <c r="L46" s="617">
        <v>24.33843697460842</v>
      </c>
      <c r="M46" s="617">
        <v>22.714523474391903</v>
      </c>
      <c r="N46" s="617">
        <v>22.924191945501249</v>
      </c>
      <c r="O46" s="617">
        <v>23.133860416610595</v>
      </c>
      <c r="P46" s="617">
        <v>23.343528887719938</v>
      </c>
      <c r="Q46" s="617">
        <v>23.553197358829284</v>
      </c>
      <c r="R46" s="617">
        <v>23.76286582993863</v>
      </c>
      <c r="S46" s="617">
        <v>24.419911914265136</v>
      </c>
      <c r="T46" s="617">
        <v>25.076957998591642</v>
      </c>
      <c r="U46" s="617">
        <v>25.734004082918148</v>
      </c>
      <c r="V46" s="617">
        <v>26.391050167244654</v>
      </c>
      <c r="W46" s="617">
        <v>27.04809625157116</v>
      </c>
      <c r="X46" s="617">
        <v>27.464515035499282</v>
      </c>
      <c r="Y46" s="617">
        <v>27.880933819427408</v>
      </c>
      <c r="Z46" s="617">
        <v>28.297352603355531</v>
      </c>
      <c r="AA46" s="617">
        <v>28.713771387283657</v>
      </c>
      <c r="AB46" s="304">
        <v>29.13019017121178</v>
      </c>
      <c r="AC46" s="304">
        <v>0</v>
      </c>
      <c r="AD46" s="304">
        <v>0</v>
      </c>
      <c r="AE46" s="304">
        <v>0</v>
      </c>
      <c r="AF46" s="304">
        <v>0</v>
      </c>
      <c r="AG46" s="304">
        <v>0</v>
      </c>
      <c r="AH46" s="304">
        <v>0</v>
      </c>
      <c r="AI46" s="304">
        <v>0</v>
      </c>
      <c r="AJ46" s="304">
        <v>0</v>
      </c>
      <c r="AK46" s="304">
        <v>0</v>
      </c>
      <c r="AL46" s="304">
        <v>0</v>
      </c>
      <c r="AM46" s="304">
        <v>0</v>
      </c>
      <c r="AN46" s="304">
        <v>0</v>
      </c>
      <c r="AO46" s="304">
        <v>0</v>
      </c>
      <c r="AP46" s="163"/>
    </row>
    <row r="47" spans="2:42" x14ac:dyDescent="0.3">
      <c r="B47" s="6"/>
      <c r="C47" s="6"/>
      <c r="D47" s="6">
        <v>1</v>
      </c>
      <c r="E47" s="638" t="str">
        <f t="shared" si="5"/>
        <v>GHG Impacts</v>
      </c>
      <c r="F47" s="303"/>
      <c r="G47" s="304"/>
      <c r="H47" s="304"/>
      <c r="I47" s="304">
        <v>143.47714610799684</v>
      </c>
      <c r="J47" s="304">
        <v>117.46765740705874</v>
      </c>
      <c r="K47" s="304">
        <v>63.005407372540716</v>
      </c>
      <c r="L47" s="617">
        <v>82.481235322387548</v>
      </c>
      <c r="M47" s="617">
        <v>112.59345223469656</v>
      </c>
      <c r="N47" s="617">
        <v>138.57086877693831</v>
      </c>
      <c r="O47" s="617">
        <v>164.54828531918008</v>
      </c>
      <c r="P47" s="617">
        <v>190.52570186142185</v>
      </c>
      <c r="Q47" s="617">
        <v>216.50311840366359</v>
      </c>
      <c r="R47" s="617">
        <v>242.48053494590533</v>
      </c>
      <c r="S47" s="617">
        <v>261.7236545004256</v>
      </c>
      <c r="T47" s="617">
        <v>280.96677405494586</v>
      </c>
      <c r="U47" s="617">
        <v>300.20989360946612</v>
      </c>
      <c r="V47" s="617">
        <v>319.45301316398638</v>
      </c>
      <c r="W47" s="617">
        <v>338.69613271850665</v>
      </c>
      <c r="X47" s="617">
        <v>359.7033237513383</v>
      </c>
      <c r="Y47" s="617">
        <v>380.71051478416996</v>
      </c>
      <c r="Z47" s="617">
        <v>401.71770581700162</v>
      </c>
      <c r="AA47" s="617">
        <v>422.72489684983321</v>
      </c>
      <c r="AB47" s="304">
        <v>443.73208788266487</v>
      </c>
      <c r="AC47" s="304">
        <v>0</v>
      </c>
      <c r="AD47" s="304">
        <v>0</v>
      </c>
      <c r="AE47" s="304">
        <v>0</v>
      </c>
      <c r="AF47" s="304">
        <v>0</v>
      </c>
      <c r="AG47" s="304">
        <v>0</v>
      </c>
      <c r="AH47" s="304">
        <v>0</v>
      </c>
      <c r="AI47" s="304">
        <v>0</v>
      </c>
      <c r="AJ47" s="304">
        <v>0</v>
      </c>
      <c r="AK47" s="304">
        <v>0</v>
      </c>
      <c r="AL47" s="304">
        <v>0</v>
      </c>
      <c r="AM47" s="304">
        <v>0</v>
      </c>
      <c r="AN47" s="304">
        <v>0</v>
      </c>
      <c r="AO47" s="304">
        <v>0</v>
      </c>
      <c r="AP47" s="163"/>
    </row>
    <row r="48" spans="2:42" x14ac:dyDescent="0.3">
      <c r="B48" s="6"/>
      <c r="C48" s="6"/>
      <c r="D48" s="6">
        <v>1</v>
      </c>
      <c r="E48" s="638" t="str">
        <f t="shared" si="5"/>
        <v>Market Price Effects - Wholesale Energy</v>
      </c>
      <c r="F48" s="303"/>
      <c r="G48" s="304"/>
      <c r="H48" s="304"/>
      <c r="I48" s="304">
        <v>23.035248702346333</v>
      </c>
      <c r="J48" s="304">
        <v>39.423424851736492</v>
      </c>
      <c r="K48" s="304">
        <v>54.352395858219772</v>
      </c>
      <c r="L48" s="617">
        <v>55.05125615688199</v>
      </c>
      <c r="M48" s="617">
        <v>70.339651868814656</v>
      </c>
      <c r="N48" s="617">
        <v>63.465537245320895</v>
      </c>
      <c r="O48" s="617">
        <v>56.591422621827128</v>
      </c>
      <c r="P48" s="617">
        <v>49.717307998333368</v>
      </c>
      <c r="Q48" s="617">
        <v>42.843193374839601</v>
      </c>
      <c r="R48" s="617">
        <v>35.96907875134584</v>
      </c>
      <c r="S48" s="617">
        <v>42.163215486230513</v>
      </c>
      <c r="T48" s="617">
        <v>48.357352221115178</v>
      </c>
      <c r="U48" s="617">
        <v>54.551488955999851</v>
      </c>
      <c r="V48" s="617">
        <v>60.745625690884523</v>
      </c>
      <c r="W48" s="617">
        <v>66.939762425769189</v>
      </c>
      <c r="X48" s="617">
        <v>70.117159035893849</v>
      </c>
      <c r="Y48" s="617">
        <v>73.294555646018509</v>
      </c>
      <c r="Z48" s="617">
        <v>76.471952256143169</v>
      </c>
      <c r="AA48" s="617">
        <v>79.649348866267829</v>
      </c>
      <c r="AB48" s="304">
        <v>82.826745476392489</v>
      </c>
      <c r="AC48" s="304">
        <v>0</v>
      </c>
      <c r="AD48" s="304">
        <v>0</v>
      </c>
      <c r="AE48" s="304">
        <v>0</v>
      </c>
      <c r="AF48" s="304">
        <v>0</v>
      </c>
      <c r="AG48" s="304">
        <v>0</v>
      </c>
      <c r="AH48" s="304">
        <v>0</v>
      </c>
      <c r="AI48" s="304">
        <v>0</v>
      </c>
      <c r="AJ48" s="304">
        <v>0</v>
      </c>
      <c r="AK48" s="304">
        <v>0</v>
      </c>
      <c r="AL48" s="304">
        <v>0</v>
      </c>
      <c r="AM48" s="304">
        <v>0</v>
      </c>
      <c r="AN48" s="304">
        <v>0</v>
      </c>
      <c r="AO48" s="304">
        <v>0</v>
      </c>
      <c r="AP48" s="163"/>
    </row>
    <row r="49" spans="2:42" x14ac:dyDescent="0.3">
      <c r="B49" s="6"/>
      <c r="C49" s="6"/>
      <c r="D49" s="6">
        <v>1</v>
      </c>
      <c r="E49" s="638" t="str">
        <f t="shared" si="5"/>
        <v>Market Price Effects - Wholesale Capacity</v>
      </c>
      <c r="F49" s="303"/>
      <c r="G49" s="304"/>
      <c r="H49" s="304"/>
      <c r="I49" s="304">
        <v>0</v>
      </c>
      <c r="J49" s="304">
        <v>0</v>
      </c>
      <c r="K49" s="304">
        <v>0</v>
      </c>
      <c r="L49" s="617">
        <v>0</v>
      </c>
      <c r="M49" s="617">
        <v>0</v>
      </c>
      <c r="N49" s="617">
        <v>0</v>
      </c>
      <c r="O49" s="617">
        <v>0</v>
      </c>
      <c r="P49" s="617">
        <v>0</v>
      </c>
      <c r="Q49" s="617">
        <v>0</v>
      </c>
      <c r="R49" s="617">
        <v>0</v>
      </c>
      <c r="S49" s="617">
        <v>0</v>
      </c>
      <c r="T49" s="617">
        <v>0</v>
      </c>
      <c r="U49" s="617">
        <v>0</v>
      </c>
      <c r="V49" s="617">
        <v>0</v>
      </c>
      <c r="W49" s="617">
        <v>0</v>
      </c>
      <c r="X49" s="617">
        <v>0</v>
      </c>
      <c r="Y49" s="617">
        <v>0</v>
      </c>
      <c r="Z49" s="617">
        <v>0</v>
      </c>
      <c r="AA49" s="617">
        <v>0</v>
      </c>
      <c r="AB49" s="304">
        <v>0</v>
      </c>
      <c r="AC49" s="304">
        <v>0</v>
      </c>
      <c r="AD49" s="304">
        <v>0</v>
      </c>
      <c r="AE49" s="304">
        <v>0</v>
      </c>
      <c r="AF49" s="304">
        <v>0</v>
      </c>
      <c r="AG49" s="304">
        <v>0</v>
      </c>
      <c r="AH49" s="304">
        <v>0</v>
      </c>
      <c r="AI49" s="304">
        <v>0</v>
      </c>
      <c r="AJ49" s="304">
        <v>0</v>
      </c>
      <c r="AK49" s="304">
        <v>0</v>
      </c>
      <c r="AL49" s="304">
        <v>0</v>
      </c>
      <c r="AM49" s="304">
        <v>0</v>
      </c>
      <c r="AN49" s="304">
        <v>0</v>
      </c>
      <c r="AO49" s="304">
        <v>0</v>
      </c>
      <c r="AP49" s="163"/>
    </row>
    <row r="50" spans="2:42" x14ac:dyDescent="0.3">
      <c r="B50" s="6"/>
      <c r="C50" s="6"/>
      <c r="D50" s="6">
        <v>1</v>
      </c>
      <c r="E50" s="639" t="str">
        <f>E26</f>
        <v>Avoided Cost of Participant Backup Generator</v>
      </c>
      <c r="F50" s="303"/>
      <c r="G50" s="303"/>
      <c r="H50" s="304"/>
      <c r="I50" s="303">
        <f>Inputs!BV10*Inputs!T10*1000</f>
        <v>2000</v>
      </c>
      <c r="J50" s="303">
        <v>0</v>
      </c>
      <c r="K50" s="303">
        <v>0</v>
      </c>
      <c r="L50" s="303"/>
      <c r="M50" s="303"/>
      <c r="N50" s="303"/>
      <c r="O50" s="303"/>
      <c r="P50" s="303"/>
      <c r="Q50" s="303"/>
      <c r="R50" s="303"/>
      <c r="S50" s="303"/>
      <c r="T50" s="303"/>
      <c r="U50" s="303"/>
      <c r="V50" s="303"/>
      <c r="W50" s="303"/>
      <c r="X50" s="303"/>
      <c r="Y50" s="303"/>
      <c r="Z50" s="303"/>
      <c r="AA50" s="303"/>
      <c r="AB50" s="303"/>
      <c r="AC50" s="303" cm="1">
        <f t="array" ref="AC50">IF(AC$31=Inputs!$E$5,INDEX(Inputs!$BV$10:$BV$25,$D50)*INDEX(StdConfigDesc,$D50,$L$29)*1000,0)</f>
        <v>0</v>
      </c>
      <c r="AD50" s="303" cm="1">
        <f t="array" ref="AD50">IF(AD$31=Inputs!$E$5,INDEX(Inputs!$BV$10:$BV$25,$D50)*INDEX(StdConfigDesc,$D50,$L$29)*1000,0)</f>
        <v>0</v>
      </c>
      <c r="AE50" s="303" cm="1">
        <f t="array" ref="AE50">IF(AE$31=Inputs!$E$5,INDEX(Inputs!$BV$10:$BV$25,$D50)*INDEX(StdConfigDesc,$D50,$L$29)*1000,0)</f>
        <v>0</v>
      </c>
      <c r="AF50" s="303" cm="1">
        <f t="array" ref="AF50">IF(AF$31=Inputs!$E$5,INDEX(Inputs!$BV$10:$BV$25,$D50)*INDEX(StdConfigDesc,$D50,$L$29)*1000,0)</f>
        <v>0</v>
      </c>
      <c r="AG50" s="303" cm="1">
        <f t="array" ref="AG50">IF(AG$31=Inputs!$E$5,INDEX(Inputs!$BV$10:$BV$25,$D50)*INDEX(StdConfigDesc,$D50,$L$29)*1000,0)</f>
        <v>0</v>
      </c>
      <c r="AH50" s="303" cm="1">
        <f t="array" ref="AH50">IF(AH$31=Inputs!$E$5,INDEX(Inputs!$BV$10:$BV$25,$D50)*INDEX(StdConfigDesc,$D50,$L$29)*1000,0)</f>
        <v>0</v>
      </c>
      <c r="AI50" s="303" cm="1">
        <f t="array" ref="AI50">IF(AI$31=Inputs!$E$5,INDEX(Inputs!$BV$10:$BV$25,$D50)*INDEX(StdConfigDesc,$D50,$L$29)*1000,0)</f>
        <v>0</v>
      </c>
      <c r="AJ50" s="303" cm="1">
        <f t="array" ref="AJ50">IF(AJ$31=Inputs!$E$5,INDEX(Inputs!$BV$10:$BV$25,$D50)*INDEX(StdConfigDesc,$D50,$L$29)*1000,0)</f>
        <v>0</v>
      </c>
      <c r="AK50" s="303" cm="1">
        <f t="array" ref="AK50">IF(AK$31=Inputs!$E$5,INDEX(Inputs!$BV$10:$BV$25,$D50)*INDEX(StdConfigDesc,$D50,$L$29)*1000,0)</f>
        <v>0</v>
      </c>
      <c r="AL50" s="303" cm="1">
        <f t="array" ref="AL50">IF(AL$31=Inputs!$E$5,INDEX(Inputs!$BV$10:$BV$25,$D50)*INDEX(StdConfigDesc,$D50,$L$29)*1000,0)</f>
        <v>0</v>
      </c>
      <c r="AM50" s="303" cm="1">
        <f t="array" ref="AM50">IF(AM$31=Inputs!$E$5,INDEX(Inputs!$BV$10:$BV$25,$D50)*INDEX(StdConfigDesc,$D50,$L$29)*1000,0)</f>
        <v>0</v>
      </c>
      <c r="AN50" s="303" cm="1">
        <f t="array" ref="AN50">IF(AN$31=Inputs!$E$5,INDEX(Inputs!$BV$10:$BV$25,$D50)*INDEX(StdConfigDesc,$D50,$L$29)*1000,0)</f>
        <v>0</v>
      </c>
      <c r="AO50" s="303" cm="1">
        <f t="array" ref="AO50">IF(AO$31=Inputs!$E$5,INDEX(Inputs!$BV$10:$BV$25,$D50)*INDEX(StdConfigDesc,$D50,$L$29)*1000,0)</f>
        <v>0</v>
      </c>
      <c r="AP50" s="163"/>
    </row>
    <row r="51" spans="2:42" x14ac:dyDescent="0.3">
      <c r="B51" s="6"/>
      <c r="C51" s="6"/>
      <c r="D51" s="6">
        <v>1</v>
      </c>
      <c r="E51" s="640" t="s">
        <v>451</v>
      </c>
      <c r="F51" s="306"/>
      <c r="G51" s="307"/>
      <c r="H51" s="308"/>
      <c r="I51" s="308">
        <v>365</v>
      </c>
      <c r="J51" s="308">
        <v>364.99999999999977</v>
      </c>
      <c r="K51" s="308">
        <v>365</v>
      </c>
      <c r="L51" s="618">
        <v>364.99999999999989</v>
      </c>
      <c r="M51" s="618">
        <v>364.99999999999983</v>
      </c>
      <c r="N51" s="618">
        <v>364.99999999999983</v>
      </c>
      <c r="O51" s="618">
        <v>364.99999999999983</v>
      </c>
      <c r="P51" s="618">
        <v>364.99999999999983</v>
      </c>
      <c r="Q51" s="618">
        <v>364.99999999999983</v>
      </c>
      <c r="R51" s="618">
        <v>365.00000000000011</v>
      </c>
      <c r="S51" s="618">
        <v>365.00000000000011</v>
      </c>
      <c r="T51" s="618">
        <v>365.00000000000011</v>
      </c>
      <c r="U51" s="618">
        <v>365.00000000000011</v>
      </c>
      <c r="V51" s="618">
        <v>365.00000000000011</v>
      </c>
      <c r="W51" s="618">
        <v>364.99999999999989</v>
      </c>
      <c r="X51" s="618">
        <v>364.99999999999989</v>
      </c>
      <c r="Y51" s="618">
        <v>364.99999999999989</v>
      </c>
      <c r="Z51" s="618">
        <v>364.99999999999989</v>
      </c>
      <c r="AA51" s="618">
        <v>364.99999999999989</v>
      </c>
      <c r="AB51" s="308">
        <v>364.99999999999994</v>
      </c>
      <c r="AC51" s="309">
        <v>0</v>
      </c>
      <c r="AD51" s="309">
        <v>0</v>
      </c>
      <c r="AE51" s="309">
        <v>0</v>
      </c>
      <c r="AF51" s="309">
        <v>0</v>
      </c>
      <c r="AG51" s="309">
        <v>0</v>
      </c>
      <c r="AH51" s="309">
        <v>0</v>
      </c>
      <c r="AI51" s="309">
        <v>0</v>
      </c>
      <c r="AJ51" s="309">
        <v>0</v>
      </c>
      <c r="AK51" s="309">
        <v>0</v>
      </c>
      <c r="AL51" s="309">
        <v>0</v>
      </c>
      <c r="AM51" s="309">
        <v>0</v>
      </c>
      <c r="AN51" s="309">
        <v>0</v>
      </c>
      <c r="AO51" s="309">
        <v>0</v>
      </c>
      <c r="AP51" s="163"/>
    </row>
    <row r="52" spans="2:42" x14ac:dyDescent="0.3">
      <c r="B52" s="6"/>
      <c r="C52" s="6"/>
      <c r="D52" s="6">
        <v>1</v>
      </c>
      <c r="E52" s="640" t="s">
        <v>455</v>
      </c>
      <c r="F52" s="306"/>
      <c r="G52" s="307"/>
      <c r="H52" s="308"/>
      <c r="I52" s="308">
        <v>9.0229999999999997</v>
      </c>
      <c r="J52" s="308">
        <v>8.91</v>
      </c>
      <c r="K52" s="308">
        <v>8.7509999999999994</v>
      </c>
      <c r="L52" s="618">
        <v>8.7219999999999995</v>
      </c>
      <c r="M52" s="618">
        <v>8.6869999999999994</v>
      </c>
      <c r="N52" s="618">
        <v>8.6752000000000002</v>
      </c>
      <c r="O52" s="618">
        <v>8.6634000000000011</v>
      </c>
      <c r="P52" s="618">
        <v>8.651600000000002</v>
      </c>
      <c r="Q52" s="618">
        <v>8.6398000000000028</v>
      </c>
      <c r="R52" s="618">
        <v>8.6280000000000001</v>
      </c>
      <c r="S52" s="618">
        <v>8.6015999999999995</v>
      </c>
      <c r="T52" s="618">
        <v>8.5751999999999988</v>
      </c>
      <c r="U52" s="618">
        <v>8.5487999999999982</v>
      </c>
      <c r="V52" s="618">
        <v>8.5223999999999975</v>
      </c>
      <c r="W52" s="618">
        <v>8.4960000000000004</v>
      </c>
      <c r="X52" s="618">
        <v>8.4860000000000007</v>
      </c>
      <c r="Y52" s="618">
        <v>8.4760000000000009</v>
      </c>
      <c r="Z52" s="618">
        <v>8.4660000000000011</v>
      </c>
      <c r="AA52" s="618">
        <v>8.4560000000000013</v>
      </c>
      <c r="AB52" s="308">
        <v>8.4459999999999997</v>
      </c>
      <c r="AC52" s="309">
        <v>0</v>
      </c>
      <c r="AD52" s="309">
        <v>0</v>
      </c>
      <c r="AE52" s="309">
        <v>0</v>
      </c>
      <c r="AF52" s="309">
        <v>0</v>
      </c>
      <c r="AG52" s="309">
        <v>0</v>
      </c>
      <c r="AH52" s="309">
        <v>0</v>
      </c>
      <c r="AI52" s="309">
        <v>0</v>
      </c>
      <c r="AJ52" s="309">
        <v>0</v>
      </c>
      <c r="AK52" s="309">
        <v>0</v>
      </c>
      <c r="AL52" s="309">
        <v>0</v>
      </c>
      <c r="AM52" s="309">
        <v>0</v>
      </c>
      <c r="AN52" s="309">
        <v>0</v>
      </c>
      <c r="AO52" s="309">
        <v>0</v>
      </c>
      <c r="AP52" s="163"/>
    </row>
    <row r="53" spans="2:42" x14ac:dyDescent="0.3">
      <c r="B53" s="6"/>
      <c r="C53" s="6"/>
      <c r="D53" s="6">
        <v>1</v>
      </c>
      <c r="E53" s="640" t="s">
        <v>448</v>
      </c>
      <c r="F53" s="303"/>
      <c r="G53" s="310"/>
      <c r="H53" s="311"/>
      <c r="I53" s="311"/>
      <c r="J53" s="311"/>
      <c r="K53" s="311"/>
      <c r="L53" s="619"/>
      <c r="M53" s="619"/>
      <c r="N53" s="619"/>
      <c r="O53" s="619"/>
      <c r="P53" s="619"/>
      <c r="Q53" s="619"/>
      <c r="R53" s="619"/>
      <c r="S53" s="619"/>
      <c r="T53" s="619"/>
      <c r="U53" s="619"/>
      <c r="V53" s="619"/>
      <c r="W53" s="619"/>
      <c r="X53" s="619"/>
      <c r="Y53" s="619"/>
      <c r="Z53" s="619"/>
      <c r="AA53" s="619"/>
      <c r="AB53" s="311"/>
      <c r="AC53" s="313"/>
      <c r="AD53" s="313"/>
      <c r="AE53" s="313"/>
      <c r="AF53" s="313"/>
      <c r="AG53" s="313"/>
      <c r="AH53" s="313"/>
      <c r="AI53" s="313"/>
      <c r="AJ53" s="313"/>
      <c r="AK53" s="313"/>
      <c r="AL53" s="313"/>
      <c r="AM53" s="313"/>
      <c r="AN53" s="313"/>
      <c r="AO53" s="313"/>
      <c r="AP53" s="163"/>
    </row>
    <row r="54" spans="2:42" x14ac:dyDescent="0.3">
      <c r="B54" s="6"/>
      <c r="C54" s="6"/>
      <c r="D54" s="6">
        <v>1</v>
      </c>
      <c r="E54" s="641" t="s">
        <v>452</v>
      </c>
      <c r="F54" s="306"/>
      <c r="G54" s="307"/>
      <c r="H54" s="308"/>
      <c r="I54" s="308">
        <v>4.2844683695725152</v>
      </c>
      <c r="J54" s="308">
        <v>4.2844683695725152</v>
      </c>
      <c r="K54" s="308">
        <v>4.284468369572517</v>
      </c>
      <c r="L54" s="618">
        <v>4.2844683695725179</v>
      </c>
      <c r="M54" s="618">
        <v>4.284468369572517</v>
      </c>
      <c r="N54" s="618">
        <v>4.284468369572517</v>
      </c>
      <c r="O54" s="618">
        <v>4.284468369572517</v>
      </c>
      <c r="P54" s="618">
        <v>4.284468369572517</v>
      </c>
      <c r="Q54" s="618">
        <v>4.284468369572517</v>
      </c>
      <c r="R54" s="618">
        <v>4.284468369572517</v>
      </c>
      <c r="S54" s="618">
        <v>4.284468369572517</v>
      </c>
      <c r="T54" s="618">
        <v>4.284468369572517</v>
      </c>
      <c r="U54" s="618">
        <v>4.284468369572517</v>
      </c>
      <c r="V54" s="618">
        <v>4.284468369572517</v>
      </c>
      <c r="W54" s="618">
        <v>4.284468369572517</v>
      </c>
      <c r="X54" s="618">
        <v>4.284468369572517</v>
      </c>
      <c r="Y54" s="618">
        <v>4.284468369572517</v>
      </c>
      <c r="Z54" s="618">
        <v>4.284468369572517</v>
      </c>
      <c r="AA54" s="618">
        <v>4.284468369572517</v>
      </c>
      <c r="AB54" s="308">
        <v>4.2844683695725188</v>
      </c>
      <c r="AC54" s="309">
        <v>0</v>
      </c>
      <c r="AD54" s="309">
        <v>0</v>
      </c>
      <c r="AE54" s="309">
        <v>0</v>
      </c>
      <c r="AF54" s="309">
        <v>0</v>
      </c>
      <c r="AG54" s="309">
        <v>0</v>
      </c>
      <c r="AH54" s="309">
        <v>0</v>
      </c>
      <c r="AI54" s="309">
        <v>0</v>
      </c>
      <c r="AJ54" s="309">
        <v>0</v>
      </c>
      <c r="AK54" s="309">
        <v>0</v>
      </c>
      <c r="AL54" s="309">
        <v>0</v>
      </c>
      <c r="AM54" s="309">
        <v>0</v>
      </c>
      <c r="AN54" s="309">
        <v>0</v>
      </c>
      <c r="AO54" s="309">
        <v>0</v>
      </c>
      <c r="AP54" s="163"/>
    </row>
    <row r="55" spans="2:42" x14ac:dyDescent="0.3">
      <c r="B55" s="6"/>
      <c r="C55" s="6"/>
      <c r="D55" s="6">
        <v>1</v>
      </c>
      <c r="E55" s="642" t="s">
        <v>606</v>
      </c>
      <c r="F55" s="306"/>
      <c r="G55" s="307"/>
      <c r="H55" s="308"/>
      <c r="I55" s="308">
        <v>0</v>
      </c>
      <c r="J55" s="308">
        <v>0</v>
      </c>
      <c r="K55" s="308">
        <v>0</v>
      </c>
      <c r="L55" s="308">
        <v>0</v>
      </c>
      <c r="M55" s="308">
        <v>0</v>
      </c>
      <c r="N55" s="308">
        <v>0</v>
      </c>
      <c r="O55" s="308">
        <v>0</v>
      </c>
      <c r="P55" s="308">
        <v>0</v>
      </c>
      <c r="Q55" s="308">
        <v>0</v>
      </c>
      <c r="R55" s="308">
        <v>0</v>
      </c>
      <c r="S55" s="308">
        <v>0</v>
      </c>
      <c r="T55" s="308">
        <v>0</v>
      </c>
      <c r="U55" s="308">
        <v>0</v>
      </c>
      <c r="V55" s="308">
        <v>0</v>
      </c>
      <c r="W55" s="308">
        <v>0</v>
      </c>
      <c r="X55" s="308">
        <v>0</v>
      </c>
      <c r="Y55" s="308">
        <v>0</v>
      </c>
      <c r="Z55" s="308">
        <v>0</v>
      </c>
      <c r="AA55" s="308">
        <v>0</v>
      </c>
      <c r="AB55" s="308">
        <v>0</v>
      </c>
      <c r="AC55" s="309">
        <v>0</v>
      </c>
      <c r="AD55" s="309">
        <v>0</v>
      </c>
      <c r="AE55" s="309">
        <v>0</v>
      </c>
      <c r="AF55" s="309">
        <v>0</v>
      </c>
      <c r="AG55" s="309">
        <v>0</v>
      </c>
      <c r="AH55" s="309">
        <v>0</v>
      </c>
      <c r="AI55" s="309">
        <v>0</v>
      </c>
      <c r="AJ55" s="309">
        <v>0</v>
      </c>
      <c r="AK55" s="309">
        <v>0</v>
      </c>
      <c r="AL55" s="309">
        <v>0</v>
      </c>
      <c r="AM55" s="309">
        <v>0</v>
      </c>
      <c r="AN55" s="309">
        <v>0</v>
      </c>
      <c r="AO55" s="309">
        <v>0</v>
      </c>
      <c r="AP55" s="163"/>
    </row>
    <row r="56" spans="2:42" x14ac:dyDescent="0.3">
      <c r="B56" s="6"/>
      <c r="C56" s="6"/>
      <c r="D56" s="6">
        <v>1</v>
      </c>
      <c r="E56" s="642" t="s">
        <v>607</v>
      </c>
      <c r="F56" s="306"/>
      <c r="G56" s="307"/>
      <c r="H56" s="308"/>
      <c r="I56" s="308">
        <v>0</v>
      </c>
      <c r="J56" s="308">
        <v>0</v>
      </c>
      <c r="K56" s="308">
        <v>0</v>
      </c>
      <c r="L56" s="308">
        <v>0</v>
      </c>
      <c r="M56" s="308">
        <v>0</v>
      </c>
      <c r="N56" s="308">
        <v>0</v>
      </c>
      <c r="O56" s="308">
        <v>0</v>
      </c>
      <c r="P56" s="308">
        <v>0</v>
      </c>
      <c r="Q56" s="308">
        <v>0</v>
      </c>
      <c r="R56" s="308">
        <v>0</v>
      </c>
      <c r="S56" s="308">
        <v>0</v>
      </c>
      <c r="T56" s="308">
        <v>0</v>
      </c>
      <c r="U56" s="308">
        <v>0</v>
      </c>
      <c r="V56" s="308">
        <v>0</v>
      </c>
      <c r="W56" s="308">
        <v>0</v>
      </c>
      <c r="X56" s="308">
        <v>0</v>
      </c>
      <c r="Y56" s="308">
        <v>0</v>
      </c>
      <c r="Z56" s="308">
        <v>0</v>
      </c>
      <c r="AA56" s="308">
        <v>0</v>
      </c>
      <c r="AB56" s="308">
        <v>0</v>
      </c>
      <c r="AC56" s="309">
        <v>0</v>
      </c>
      <c r="AD56" s="309">
        <v>0</v>
      </c>
      <c r="AE56" s="309">
        <v>0</v>
      </c>
      <c r="AF56" s="309">
        <v>0</v>
      </c>
      <c r="AG56" s="309">
        <v>0</v>
      </c>
      <c r="AH56" s="309">
        <v>0</v>
      </c>
      <c r="AI56" s="309">
        <v>0</v>
      </c>
      <c r="AJ56" s="309">
        <v>0</v>
      </c>
      <c r="AK56" s="309">
        <v>0</v>
      </c>
      <c r="AL56" s="309">
        <v>0</v>
      </c>
      <c r="AM56" s="309">
        <v>0</v>
      </c>
      <c r="AN56" s="309">
        <v>0</v>
      </c>
      <c r="AO56" s="309">
        <v>0</v>
      </c>
      <c r="AP56" s="163"/>
    </row>
    <row r="57" spans="2:42" x14ac:dyDescent="0.3">
      <c r="B57" s="6"/>
      <c r="C57" s="6"/>
      <c r="D57" s="6">
        <v>1</v>
      </c>
      <c r="E57" s="642" t="s">
        <v>608</v>
      </c>
      <c r="F57" s="306"/>
      <c r="G57" s="307"/>
      <c r="H57" s="308"/>
      <c r="I57" s="308">
        <v>0</v>
      </c>
      <c r="J57" s="308">
        <v>0</v>
      </c>
      <c r="K57" s="308">
        <v>0</v>
      </c>
      <c r="L57" s="618">
        <v>1.7000000000000001E-2</v>
      </c>
      <c r="M57" s="618">
        <v>0</v>
      </c>
      <c r="N57" s="618">
        <v>0</v>
      </c>
      <c r="O57" s="618">
        <v>0</v>
      </c>
      <c r="P57" s="618">
        <v>0</v>
      </c>
      <c r="Q57" s="618">
        <v>8.8000000000000005E-3</v>
      </c>
      <c r="R57" s="618">
        <v>0</v>
      </c>
      <c r="S57" s="618">
        <v>0</v>
      </c>
      <c r="T57" s="618">
        <v>0</v>
      </c>
      <c r="U57" s="618">
        <v>0</v>
      </c>
      <c r="V57" s="618">
        <v>1.6E-2</v>
      </c>
      <c r="W57" s="618">
        <v>0</v>
      </c>
      <c r="X57" s="618">
        <v>8.8224859728611399E-4</v>
      </c>
      <c r="Y57" s="618">
        <v>1.764497194572228E-3</v>
      </c>
      <c r="Z57" s="618">
        <v>2.6467457918583417E-3</v>
      </c>
      <c r="AA57" s="618">
        <v>3.5289943891444559E-3</v>
      </c>
      <c r="AB57" s="308">
        <v>4.4112429864305702E-3</v>
      </c>
      <c r="AC57" s="309">
        <v>0</v>
      </c>
      <c r="AD57" s="309">
        <v>0</v>
      </c>
      <c r="AE57" s="309">
        <v>0</v>
      </c>
      <c r="AF57" s="309">
        <v>0</v>
      </c>
      <c r="AG57" s="309">
        <v>0</v>
      </c>
      <c r="AH57" s="309">
        <v>0</v>
      </c>
      <c r="AI57" s="309">
        <v>0</v>
      </c>
      <c r="AJ57" s="309">
        <v>0</v>
      </c>
      <c r="AK57" s="309">
        <v>0</v>
      </c>
      <c r="AL57" s="309">
        <v>0</v>
      </c>
      <c r="AM57" s="309">
        <v>0</v>
      </c>
      <c r="AN57" s="309">
        <v>0</v>
      </c>
      <c r="AO57" s="309">
        <v>0</v>
      </c>
      <c r="AP57" s="163"/>
    </row>
    <row r="58" spans="2:42" x14ac:dyDescent="0.3">
      <c r="B58" s="6"/>
      <c r="C58" s="6"/>
      <c r="D58" s="6">
        <v>1</v>
      </c>
      <c r="E58" s="642" t="s">
        <v>440</v>
      </c>
      <c r="F58" s="306"/>
      <c r="G58" s="307"/>
      <c r="H58" s="308"/>
      <c r="I58" s="308">
        <v>4.2789999999999999</v>
      </c>
      <c r="J58" s="308">
        <v>4.24</v>
      </c>
      <c r="K58" s="308">
        <v>4.1399999999999997</v>
      </c>
      <c r="L58" s="618">
        <v>3.98</v>
      </c>
      <c r="M58" s="618">
        <v>3.68</v>
      </c>
      <c r="N58" s="618">
        <v>3.4262000000000001</v>
      </c>
      <c r="O58" s="618">
        <v>3.1724000000000001</v>
      </c>
      <c r="P58" s="618">
        <v>2.9186000000000001</v>
      </c>
      <c r="Q58" s="618">
        <v>2.6648000000000001</v>
      </c>
      <c r="R58" s="618">
        <v>2.411</v>
      </c>
      <c r="S58" s="618">
        <v>2.2839999999999998</v>
      </c>
      <c r="T58" s="618">
        <v>2.157</v>
      </c>
      <c r="U58" s="618">
        <v>2.0300000000000002</v>
      </c>
      <c r="V58" s="618">
        <v>1.9030000000000002</v>
      </c>
      <c r="W58" s="618">
        <v>1.776</v>
      </c>
      <c r="X58" s="618">
        <v>1.6953712402829761</v>
      </c>
      <c r="Y58" s="618">
        <v>1.6147424805659523</v>
      </c>
      <c r="Z58" s="618">
        <v>1.5341137208489284</v>
      </c>
      <c r="AA58" s="618">
        <v>1.4534849611319045</v>
      </c>
      <c r="AB58" s="308">
        <v>1.3728562014148804</v>
      </c>
      <c r="AC58" s="309">
        <v>0</v>
      </c>
      <c r="AD58" s="309">
        <v>0</v>
      </c>
      <c r="AE58" s="309">
        <v>0</v>
      </c>
      <c r="AF58" s="309">
        <v>0</v>
      </c>
      <c r="AG58" s="309">
        <v>0</v>
      </c>
      <c r="AH58" s="309">
        <v>0</v>
      </c>
      <c r="AI58" s="309">
        <v>0</v>
      </c>
      <c r="AJ58" s="309">
        <v>0</v>
      </c>
      <c r="AK58" s="309">
        <v>0</v>
      </c>
      <c r="AL58" s="309">
        <v>0</v>
      </c>
      <c r="AM58" s="309">
        <v>0</v>
      </c>
      <c r="AN58" s="309">
        <v>0</v>
      </c>
      <c r="AO58" s="309">
        <v>0</v>
      </c>
      <c r="AP58" s="163"/>
    </row>
    <row r="59" spans="2:42" x14ac:dyDescent="0.3">
      <c r="B59" s="6"/>
      <c r="C59" s="6"/>
      <c r="D59" s="6">
        <v>1</v>
      </c>
      <c r="E59" s="642" t="s">
        <v>435</v>
      </c>
      <c r="F59" s="306"/>
      <c r="G59" s="307"/>
      <c r="H59" s="308"/>
      <c r="I59" s="308">
        <v>4.2839999999999998</v>
      </c>
      <c r="J59" s="308">
        <v>4.2839999999999998</v>
      </c>
      <c r="K59" s="308">
        <v>4.2839999999999998</v>
      </c>
      <c r="L59" s="618">
        <v>4.2839999999999998</v>
      </c>
      <c r="M59" s="618">
        <v>4.2839999999999998</v>
      </c>
      <c r="N59" s="618">
        <v>4.2839999999999998</v>
      </c>
      <c r="O59" s="618">
        <v>4.2839999999999998</v>
      </c>
      <c r="P59" s="618">
        <v>4.2839999999999998</v>
      </c>
      <c r="Q59" s="618">
        <v>4.2839999999999998</v>
      </c>
      <c r="R59" s="618">
        <v>4.2839999999999998</v>
      </c>
      <c r="S59" s="618">
        <v>4.2839999999999998</v>
      </c>
      <c r="T59" s="618">
        <v>4.2839999999999998</v>
      </c>
      <c r="U59" s="618">
        <v>4.2839999999999998</v>
      </c>
      <c r="V59" s="618">
        <v>4.2839999999999998</v>
      </c>
      <c r="W59" s="618">
        <v>4.2839999999999998</v>
      </c>
      <c r="X59" s="618">
        <v>4.2840936739144952</v>
      </c>
      <c r="Y59" s="618">
        <v>4.2841873478289907</v>
      </c>
      <c r="Z59" s="618">
        <v>4.2842810217434861</v>
      </c>
      <c r="AA59" s="618">
        <v>4.2843746956579816</v>
      </c>
      <c r="AB59" s="308">
        <v>4.2844683695724761</v>
      </c>
      <c r="AC59" s="309">
        <v>0</v>
      </c>
      <c r="AD59" s="309">
        <v>0</v>
      </c>
      <c r="AE59" s="309">
        <v>0</v>
      </c>
      <c r="AF59" s="309">
        <v>0</v>
      </c>
      <c r="AG59" s="309">
        <v>0</v>
      </c>
      <c r="AH59" s="309">
        <v>0</v>
      </c>
      <c r="AI59" s="309">
        <v>0</v>
      </c>
      <c r="AJ59" s="309">
        <v>0</v>
      </c>
      <c r="AK59" s="309">
        <v>0</v>
      </c>
      <c r="AL59" s="309">
        <v>0</v>
      </c>
      <c r="AM59" s="309">
        <v>0</v>
      </c>
      <c r="AN59" s="309">
        <v>0</v>
      </c>
      <c r="AO59" s="309">
        <v>0</v>
      </c>
      <c r="AP59" s="163"/>
    </row>
    <row r="60" spans="2:42" x14ac:dyDescent="0.3">
      <c r="B60" s="6"/>
      <c r="C60" s="6"/>
      <c r="D60" s="6">
        <v>1</v>
      </c>
      <c r="E60" s="643" t="s">
        <v>436</v>
      </c>
      <c r="F60" s="306"/>
      <c r="G60" s="307"/>
      <c r="H60" s="308"/>
      <c r="I60" s="308">
        <v>0</v>
      </c>
      <c r="J60" s="308">
        <v>0</v>
      </c>
      <c r="K60" s="308">
        <v>0</v>
      </c>
      <c r="L60" s="618">
        <v>0</v>
      </c>
      <c r="M60" s="618">
        <v>0</v>
      </c>
      <c r="N60" s="618">
        <v>0</v>
      </c>
      <c r="O60" s="618">
        <v>0</v>
      </c>
      <c r="P60" s="618">
        <v>0</v>
      </c>
      <c r="Q60" s="618">
        <v>0</v>
      </c>
      <c r="R60" s="618">
        <v>0</v>
      </c>
      <c r="S60" s="618">
        <v>0</v>
      </c>
      <c r="T60" s="618">
        <v>0</v>
      </c>
      <c r="U60" s="618">
        <v>0</v>
      </c>
      <c r="V60" s="618">
        <v>0</v>
      </c>
      <c r="W60" s="618">
        <v>0</v>
      </c>
      <c r="X60" s="618">
        <v>0</v>
      </c>
      <c r="Y60" s="618">
        <v>0</v>
      </c>
      <c r="Z60" s="618">
        <v>0</v>
      </c>
      <c r="AA60" s="618">
        <v>0</v>
      </c>
      <c r="AB60" s="308">
        <v>0</v>
      </c>
      <c r="AC60" s="309">
        <v>0</v>
      </c>
      <c r="AD60" s="309">
        <v>0</v>
      </c>
      <c r="AE60" s="309">
        <v>0</v>
      </c>
      <c r="AF60" s="309">
        <v>0</v>
      </c>
      <c r="AG60" s="309">
        <v>0</v>
      </c>
      <c r="AH60" s="309">
        <v>0</v>
      </c>
      <c r="AI60" s="309">
        <v>0</v>
      </c>
      <c r="AJ60" s="309">
        <v>0</v>
      </c>
      <c r="AK60" s="309">
        <v>0</v>
      </c>
      <c r="AL60" s="309">
        <v>0</v>
      </c>
      <c r="AM60" s="309">
        <v>0</v>
      </c>
      <c r="AN60" s="309">
        <v>0</v>
      </c>
      <c r="AO60" s="309">
        <v>0</v>
      </c>
      <c r="AP60" s="163"/>
    </row>
    <row r="61" spans="2:42" x14ac:dyDescent="0.3">
      <c r="B61" s="6"/>
      <c r="C61" s="6"/>
      <c r="D61" s="6">
        <v>1</v>
      </c>
      <c r="E61" s="640" t="s">
        <v>453</v>
      </c>
      <c r="H61" s="505"/>
      <c r="I61" s="505"/>
      <c r="J61" s="505"/>
      <c r="K61" s="505"/>
      <c r="L61" s="505"/>
      <c r="M61" s="505"/>
      <c r="N61" s="505"/>
      <c r="O61" s="505"/>
      <c r="P61" s="505"/>
      <c r="Q61" s="505"/>
      <c r="R61" s="505"/>
      <c r="S61" s="505"/>
      <c r="T61" s="505"/>
      <c r="U61" s="505"/>
      <c r="V61" s="505"/>
      <c r="W61" s="505"/>
      <c r="X61" s="505"/>
      <c r="Y61" s="505"/>
      <c r="Z61" s="505"/>
      <c r="AA61" s="505"/>
      <c r="AB61" s="505"/>
      <c r="AC61" s="15"/>
      <c r="AD61" s="15"/>
      <c r="AE61" s="15"/>
      <c r="AF61" s="15"/>
      <c r="AG61" s="15"/>
      <c r="AH61" s="15"/>
      <c r="AI61" s="15"/>
      <c r="AJ61" s="15"/>
      <c r="AK61" s="15"/>
      <c r="AL61" s="15"/>
      <c r="AM61" s="15"/>
      <c r="AN61" s="15"/>
      <c r="AO61" s="15"/>
      <c r="AP61" s="163"/>
    </row>
    <row r="62" spans="2:42" x14ac:dyDescent="0.3">
      <c r="B62" s="6"/>
      <c r="C62" s="6"/>
      <c r="D62" s="6">
        <v>1</v>
      </c>
      <c r="E62" s="641" t="s">
        <v>454</v>
      </c>
      <c r="F62" s="306"/>
      <c r="G62" s="307"/>
      <c r="H62" s="308"/>
      <c r="I62" s="308">
        <v>3.649999999999999</v>
      </c>
      <c r="J62" s="308">
        <v>3.6499999999999981</v>
      </c>
      <c r="K62" s="308">
        <v>3.65</v>
      </c>
      <c r="L62" s="618">
        <v>3.6500000000000008</v>
      </c>
      <c r="M62" s="618">
        <v>3.6500000000000004</v>
      </c>
      <c r="N62" s="618">
        <v>3.6500000000000004</v>
      </c>
      <c r="O62" s="618">
        <v>3.6500000000000004</v>
      </c>
      <c r="P62" s="618">
        <v>3.6500000000000004</v>
      </c>
      <c r="Q62" s="618">
        <v>3.6500000000000004</v>
      </c>
      <c r="R62" s="618">
        <v>3.6500000000000004</v>
      </c>
      <c r="S62" s="618">
        <v>3.6500000000000004</v>
      </c>
      <c r="T62" s="618">
        <v>3.6500000000000004</v>
      </c>
      <c r="U62" s="618">
        <v>3.6500000000000004</v>
      </c>
      <c r="V62" s="618">
        <v>3.6500000000000004</v>
      </c>
      <c r="W62" s="618">
        <v>3.6500000000000008</v>
      </c>
      <c r="X62" s="618">
        <v>3.6500000000000008</v>
      </c>
      <c r="Y62" s="618">
        <v>3.6500000000000008</v>
      </c>
      <c r="Z62" s="618">
        <v>3.6500000000000008</v>
      </c>
      <c r="AA62" s="618">
        <v>3.6500000000000008</v>
      </c>
      <c r="AB62" s="308">
        <v>3.6500000000000017</v>
      </c>
      <c r="AC62" s="309">
        <v>0</v>
      </c>
      <c r="AD62" s="309">
        <v>0</v>
      </c>
      <c r="AE62" s="309">
        <v>0</v>
      </c>
      <c r="AF62" s="309">
        <v>0</v>
      </c>
      <c r="AG62" s="309">
        <v>0</v>
      </c>
      <c r="AH62" s="309">
        <v>0</v>
      </c>
      <c r="AI62" s="309">
        <v>0</v>
      </c>
      <c r="AJ62" s="309">
        <v>0</v>
      </c>
      <c r="AK62" s="309">
        <v>0</v>
      </c>
      <c r="AL62" s="309">
        <v>0</v>
      </c>
      <c r="AM62" s="309">
        <v>0</v>
      </c>
      <c r="AN62" s="309">
        <v>0</v>
      </c>
      <c r="AO62" s="309">
        <v>0</v>
      </c>
      <c r="AP62" s="163"/>
    </row>
    <row r="63" spans="2:42" x14ac:dyDescent="0.3">
      <c r="B63" s="6"/>
      <c r="C63" s="6"/>
      <c r="D63" s="6">
        <v>1</v>
      </c>
      <c r="E63" s="642" t="s">
        <v>606</v>
      </c>
      <c r="F63" s="306"/>
      <c r="G63" s="307"/>
      <c r="H63" s="308"/>
      <c r="I63" s="308">
        <v>0.32</v>
      </c>
      <c r="J63" s="308">
        <v>0.32</v>
      </c>
      <c r="K63" s="308">
        <v>0.32</v>
      </c>
      <c r="L63" s="618">
        <v>0.32</v>
      </c>
      <c r="M63" s="618">
        <v>0.32</v>
      </c>
      <c r="N63" s="618">
        <v>0.32</v>
      </c>
      <c r="O63" s="618">
        <v>0.32</v>
      </c>
      <c r="P63" s="618">
        <v>0.32</v>
      </c>
      <c r="Q63" s="618">
        <v>0.32</v>
      </c>
      <c r="R63" s="618">
        <v>0.32</v>
      </c>
      <c r="S63" s="618">
        <v>0.32</v>
      </c>
      <c r="T63" s="618">
        <v>0.32</v>
      </c>
      <c r="U63" s="618">
        <v>0.32</v>
      </c>
      <c r="V63" s="618">
        <v>0.32</v>
      </c>
      <c r="W63" s="618">
        <v>0.32</v>
      </c>
      <c r="X63" s="618">
        <v>0.32</v>
      </c>
      <c r="Y63" s="618">
        <v>0.32</v>
      </c>
      <c r="Z63" s="618">
        <v>0.32</v>
      </c>
      <c r="AA63" s="618">
        <v>0.32</v>
      </c>
      <c r="AB63" s="308">
        <v>0.32</v>
      </c>
      <c r="AC63" s="309">
        <v>0</v>
      </c>
      <c r="AD63" s="309">
        <v>0</v>
      </c>
      <c r="AE63" s="309">
        <v>0</v>
      </c>
      <c r="AF63" s="309">
        <v>0</v>
      </c>
      <c r="AG63" s="309">
        <v>0</v>
      </c>
      <c r="AH63" s="309">
        <v>0</v>
      </c>
      <c r="AI63" s="309">
        <v>0</v>
      </c>
      <c r="AJ63" s="309">
        <v>0</v>
      </c>
      <c r="AK63" s="309">
        <v>0</v>
      </c>
      <c r="AL63" s="309">
        <v>0</v>
      </c>
      <c r="AM63" s="309">
        <v>0</v>
      </c>
      <c r="AN63" s="309">
        <v>0</v>
      </c>
      <c r="AO63" s="309">
        <v>0</v>
      </c>
      <c r="AP63" s="163"/>
    </row>
    <row r="64" spans="2:42" x14ac:dyDescent="0.3">
      <c r="B64" s="6"/>
      <c r="C64" s="6"/>
      <c r="D64" s="6">
        <v>1</v>
      </c>
      <c r="E64" s="642" t="s">
        <v>607</v>
      </c>
      <c r="F64" s="306"/>
      <c r="G64" s="307"/>
      <c r="H64" s="308"/>
      <c r="I64" s="308">
        <v>0.32</v>
      </c>
      <c r="J64" s="308">
        <v>0.32</v>
      </c>
      <c r="K64" s="308">
        <v>0.32</v>
      </c>
      <c r="L64" s="618">
        <v>0.32</v>
      </c>
      <c r="M64" s="618">
        <v>0.32</v>
      </c>
      <c r="N64" s="618">
        <v>0.32</v>
      </c>
      <c r="O64" s="618">
        <v>0.32</v>
      </c>
      <c r="P64" s="618">
        <v>0.32</v>
      </c>
      <c r="Q64" s="618">
        <v>0.32</v>
      </c>
      <c r="R64" s="618">
        <v>0.32</v>
      </c>
      <c r="S64" s="618">
        <v>0.32</v>
      </c>
      <c r="T64" s="618">
        <v>0.32</v>
      </c>
      <c r="U64" s="618">
        <v>0.32</v>
      </c>
      <c r="V64" s="618">
        <v>0.32</v>
      </c>
      <c r="W64" s="618">
        <v>0.32</v>
      </c>
      <c r="X64" s="618">
        <v>0.32</v>
      </c>
      <c r="Y64" s="618">
        <v>0.32</v>
      </c>
      <c r="Z64" s="618">
        <v>0.32</v>
      </c>
      <c r="AA64" s="618">
        <v>0.32</v>
      </c>
      <c r="AB64" s="308">
        <v>0.32</v>
      </c>
      <c r="AC64" s="309">
        <v>0</v>
      </c>
      <c r="AD64" s="309">
        <v>0</v>
      </c>
      <c r="AE64" s="309">
        <v>0</v>
      </c>
      <c r="AF64" s="309">
        <v>0</v>
      </c>
      <c r="AG64" s="309">
        <v>0</v>
      </c>
      <c r="AH64" s="309">
        <v>0</v>
      </c>
      <c r="AI64" s="309">
        <v>0</v>
      </c>
      <c r="AJ64" s="309">
        <v>0</v>
      </c>
      <c r="AK64" s="309">
        <v>0</v>
      </c>
      <c r="AL64" s="309">
        <v>0</v>
      </c>
      <c r="AM64" s="309">
        <v>0</v>
      </c>
      <c r="AN64" s="309">
        <v>0</v>
      </c>
      <c r="AO64" s="309">
        <v>0</v>
      </c>
      <c r="AP64" s="163"/>
    </row>
    <row r="65" spans="2:42" x14ac:dyDescent="0.3">
      <c r="B65" s="6"/>
      <c r="C65" s="6"/>
      <c r="D65" s="6">
        <v>1</v>
      </c>
      <c r="E65" s="642" t="s">
        <v>608</v>
      </c>
      <c r="F65" s="306"/>
      <c r="G65" s="307"/>
      <c r="H65" s="308"/>
      <c r="I65" s="308">
        <v>0.29299999999999998</v>
      </c>
      <c r="J65" s="308">
        <v>0.29299999999999998</v>
      </c>
      <c r="K65" s="308">
        <v>0.28799999999999998</v>
      </c>
      <c r="L65" s="618">
        <v>0.29599999999999999</v>
      </c>
      <c r="M65" s="618">
        <v>0.27600000000000002</v>
      </c>
      <c r="N65" s="618">
        <v>0.27840000000000004</v>
      </c>
      <c r="O65" s="618">
        <v>0.28080000000000005</v>
      </c>
      <c r="P65" s="618">
        <v>0.28320000000000006</v>
      </c>
      <c r="Q65" s="618">
        <v>0.28560000000000008</v>
      </c>
      <c r="R65" s="618">
        <v>0.28799999999999998</v>
      </c>
      <c r="S65" s="618">
        <v>0.29139999999999999</v>
      </c>
      <c r="T65" s="618">
        <v>0.29480000000000001</v>
      </c>
      <c r="U65" s="618">
        <v>0.29820000000000002</v>
      </c>
      <c r="V65" s="618">
        <v>0.30160000000000003</v>
      </c>
      <c r="W65" s="618">
        <v>0.30499999999999999</v>
      </c>
      <c r="X65" s="618">
        <v>0.30259999999999998</v>
      </c>
      <c r="Y65" s="618">
        <v>0.30019999999999997</v>
      </c>
      <c r="Z65" s="618">
        <v>0.29779999999999995</v>
      </c>
      <c r="AA65" s="618">
        <v>0.29539999999999994</v>
      </c>
      <c r="AB65" s="308">
        <v>0.29299999999999998</v>
      </c>
      <c r="AC65" s="309">
        <v>0</v>
      </c>
      <c r="AD65" s="309">
        <v>0</v>
      </c>
      <c r="AE65" s="309">
        <v>0</v>
      </c>
      <c r="AF65" s="309">
        <v>0</v>
      </c>
      <c r="AG65" s="309">
        <v>0</v>
      </c>
      <c r="AH65" s="309">
        <v>0</v>
      </c>
      <c r="AI65" s="309">
        <v>0</v>
      </c>
      <c r="AJ65" s="309">
        <v>0</v>
      </c>
      <c r="AK65" s="309">
        <v>0</v>
      </c>
      <c r="AL65" s="309">
        <v>0</v>
      </c>
      <c r="AM65" s="309">
        <v>0</v>
      </c>
      <c r="AN65" s="309">
        <v>0</v>
      </c>
      <c r="AO65" s="309">
        <v>0</v>
      </c>
      <c r="AP65" s="163"/>
    </row>
    <row r="66" spans="2:42" x14ac:dyDescent="0.3">
      <c r="B66" s="6"/>
      <c r="C66" s="6"/>
      <c r="D66" s="6">
        <v>1</v>
      </c>
      <c r="E66" s="642" t="s">
        <v>440</v>
      </c>
      <c r="F66" s="306"/>
      <c r="G66" s="307"/>
      <c r="H66" s="308"/>
      <c r="I66" s="308">
        <v>3.65</v>
      </c>
      <c r="J66" s="308">
        <v>3.65</v>
      </c>
      <c r="K66" s="308">
        <v>3.65</v>
      </c>
      <c r="L66" s="618">
        <v>3.65</v>
      </c>
      <c r="M66" s="618">
        <v>3.65</v>
      </c>
      <c r="N66" s="618">
        <v>3.65</v>
      </c>
      <c r="O66" s="618">
        <v>3.65</v>
      </c>
      <c r="P66" s="618">
        <v>3.65</v>
      </c>
      <c r="Q66" s="618">
        <v>3.65</v>
      </c>
      <c r="R66" s="618">
        <v>3.65</v>
      </c>
      <c r="S66" s="618">
        <v>3.6280000000000001</v>
      </c>
      <c r="T66" s="618">
        <v>3.6060000000000003</v>
      </c>
      <c r="U66" s="618">
        <v>3.5840000000000005</v>
      </c>
      <c r="V66" s="618">
        <v>3.5620000000000007</v>
      </c>
      <c r="W66" s="618">
        <v>3.54</v>
      </c>
      <c r="X66" s="618">
        <v>3.5164</v>
      </c>
      <c r="Y66" s="618">
        <v>3.4927999999999999</v>
      </c>
      <c r="Z66" s="618">
        <v>3.4691999999999998</v>
      </c>
      <c r="AA66" s="618">
        <v>3.4455999999999998</v>
      </c>
      <c r="AB66" s="308">
        <v>3.4219999999999993</v>
      </c>
      <c r="AC66" s="309">
        <v>0</v>
      </c>
      <c r="AD66" s="309">
        <v>0</v>
      </c>
      <c r="AE66" s="309">
        <v>0</v>
      </c>
      <c r="AF66" s="309">
        <v>0</v>
      </c>
      <c r="AG66" s="309">
        <v>0</v>
      </c>
      <c r="AH66" s="309">
        <v>0</v>
      </c>
      <c r="AI66" s="309">
        <v>0</v>
      </c>
      <c r="AJ66" s="309">
        <v>0</v>
      </c>
      <c r="AK66" s="309">
        <v>0</v>
      </c>
      <c r="AL66" s="309">
        <v>0</v>
      </c>
      <c r="AM66" s="309">
        <v>0</v>
      </c>
      <c r="AN66" s="309">
        <v>0</v>
      </c>
      <c r="AO66" s="309">
        <v>0</v>
      </c>
      <c r="AP66" s="163"/>
    </row>
    <row r="67" spans="2:42" x14ac:dyDescent="0.3">
      <c r="B67" s="6"/>
      <c r="C67" s="6"/>
      <c r="D67" s="6">
        <v>1</v>
      </c>
      <c r="E67" s="642" t="s">
        <v>435</v>
      </c>
      <c r="F67" s="306"/>
      <c r="G67" s="307"/>
      <c r="H67" s="308"/>
      <c r="I67" s="308">
        <v>3.65</v>
      </c>
      <c r="J67" s="308">
        <v>3.65</v>
      </c>
      <c r="K67" s="308">
        <v>3.65</v>
      </c>
      <c r="L67" s="618">
        <v>3.65</v>
      </c>
      <c r="M67" s="618">
        <v>3.65</v>
      </c>
      <c r="N67" s="618">
        <v>3.65</v>
      </c>
      <c r="O67" s="618">
        <v>3.65</v>
      </c>
      <c r="P67" s="618">
        <v>3.65</v>
      </c>
      <c r="Q67" s="618">
        <v>3.65</v>
      </c>
      <c r="R67" s="618">
        <v>3.65</v>
      </c>
      <c r="S67" s="618">
        <v>3.65</v>
      </c>
      <c r="T67" s="618">
        <v>3.65</v>
      </c>
      <c r="U67" s="618">
        <v>3.65</v>
      </c>
      <c r="V67" s="618">
        <v>3.65</v>
      </c>
      <c r="W67" s="618">
        <v>3.65</v>
      </c>
      <c r="X67" s="618">
        <v>3.65</v>
      </c>
      <c r="Y67" s="618">
        <v>3.65</v>
      </c>
      <c r="Z67" s="618">
        <v>3.65</v>
      </c>
      <c r="AA67" s="618">
        <v>3.65</v>
      </c>
      <c r="AB67" s="308">
        <v>3.649999999999999</v>
      </c>
      <c r="AC67" s="309">
        <v>0</v>
      </c>
      <c r="AD67" s="309">
        <v>0</v>
      </c>
      <c r="AE67" s="309">
        <v>0</v>
      </c>
      <c r="AF67" s="309">
        <v>0</v>
      </c>
      <c r="AG67" s="309">
        <v>0</v>
      </c>
      <c r="AH67" s="309">
        <v>0</v>
      </c>
      <c r="AI67" s="309">
        <v>0</v>
      </c>
      <c r="AJ67" s="309">
        <v>0</v>
      </c>
      <c r="AK67" s="309">
        <v>0</v>
      </c>
      <c r="AL67" s="309">
        <v>0</v>
      </c>
      <c r="AM67" s="309">
        <v>0</v>
      </c>
      <c r="AN67" s="309">
        <v>0</v>
      </c>
      <c r="AO67" s="309">
        <v>0</v>
      </c>
      <c r="AP67" s="163"/>
    </row>
    <row r="68" spans="2:42" x14ac:dyDescent="0.3">
      <c r="B68" s="6"/>
      <c r="C68" s="6"/>
      <c r="D68" s="6">
        <v>1</v>
      </c>
      <c r="E68" s="642" t="s">
        <v>436</v>
      </c>
      <c r="F68" s="306"/>
      <c r="G68" s="307"/>
      <c r="H68" s="308"/>
      <c r="I68" s="308">
        <v>0</v>
      </c>
      <c r="J68" s="308">
        <v>0</v>
      </c>
      <c r="K68" s="308">
        <v>0</v>
      </c>
      <c r="L68" s="618">
        <v>0</v>
      </c>
      <c r="M68" s="618">
        <v>0</v>
      </c>
      <c r="N68" s="618">
        <v>0</v>
      </c>
      <c r="O68" s="618">
        <v>0</v>
      </c>
      <c r="P68" s="618">
        <v>0</v>
      </c>
      <c r="Q68" s="618">
        <v>0</v>
      </c>
      <c r="R68" s="618">
        <v>0</v>
      </c>
      <c r="S68" s="618">
        <v>0</v>
      </c>
      <c r="T68" s="618">
        <v>0</v>
      </c>
      <c r="U68" s="618">
        <v>0</v>
      </c>
      <c r="V68" s="618">
        <v>0</v>
      </c>
      <c r="W68" s="618">
        <v>0</v>
      </c>
      <c r="X68" s="618">
        <v>0</v>
      </c>
      <c r="Y68" s="618">
        <v>0</v>
      </c>
      <c r="Z68" s="618">
        <v>0</v>
      </c>
      <c r="AA68" s="618">
        <v>0</v>
      </c>
      <c r="AB68" s="308">
        <v>0</v>
      </c>
      <c r="AC68" s="309">
        <v>0</v>
      </c>
      <c r="AD68" s="309">
        <v>0</v>
      </c>
      <c r="AE68" s="309">
        <v>0</v>
      </c>
      <c r="AF68" s="309">
        <v>0</v>
      </c>
      <c r="AG68" s="309">
        <v>0</v>
      </c>
      <c r="AH68" s="309">
        <v>0</v>
      </c>
      <c r="AI68" s="309">
        <v>0</v>
      </c>
      <c r="AJ68" s="309">
        <v>0</v>
      </c>
      <c r="AK68" s="309">
        <v>0</v>
      </c>
      <c r="AL68" s="309">
        <v>0</v>
      </c>
      <c r="AM68" s="309">
        <v>0</v>
      </c>
      <c r="AN68" s="309">
        <v>0</v>
      </c>
      <c r="AO68" s="309">
        <v>0</v>
      </c>
      <c r="AP68" s="163"/>
    </row>
    <row r="69" spans="2:42" x14ac:dyDescent="0.3">
      <c r="B69" s="6"/>
      <c r="C69" s="6"/>
      <c r="D69" s="6">
        <v>1</v>
      </c>
      <c r="E69" s="544"/>
      <c r="H69" s="545"/>
      <c r="I69" s="545"/>
      <c r="J69" s="545"/>
      <c r="K69" s="545"/>
      <c r="L69" s="644"/>
      <c r="M69" s="644"/>
      <c r="N69" s="644"/>
      <c r="O69" s="644"/>
      <c r="P69" s="644"/>
      <c r="Q69" s="644"/>
      <c r="R69" s="644"/>
      <c r="S69" s="644"/>
      <c r="T69" s="644"/>
      <c r="U69" s="644"/>
      <c r="V69" s="644"/>
      <c r="W69" s="644"/>
      <c r="X69" s="644"/>
      <c r="Y69" s="644"/>
      <c r="Z69" s="644"/>
      <c r="AA69" s="644"/>
      <c r="AB69" s="545"/>
      <c r="AC69" s="545"/>
      <c r="AD69" s="545"/>
      <c r="AE69" s="545"/>
      <c r="AF69" s="545"/>
      <c r="AG69" s="545"/>
      <c r="AH69" s="545"/>
      <c r="AI69" s="545"/>
      <c r="AJ69" s="545"/>
      <c r="AK69" s="545"/>
      <c r="AL69" s="545"/>
      <c r="AM69" s="545"/>
      <c r="AN69" s="545"/>
      <c r="AO69" s="545"/>
      <c r="AP69" s="543"/>
    </row>
    <row r="70" spans="2:42" ht="21" x14ac:dyDescent="0.4">
      <c r="B70" s="6"/>
      <c r="C70" s="6"/>
      <c r="D70" s="6">
        <f>D30+1</f>
        <v>2</v>
      </c>
      <c r="E70" s="632" t="str">
        <f>_xlfn.CONCAT(revenueSimulationID," ",$D70,"|",INDEX(StdConfigDesc,$D70,$E$29))</f>
        <v>Case 2|Residential - Large (25 kW / 50 kWh)</v>
      </c>
      <c r="F70" s="633"/>
      <c r="G70" s="633"/>
      <c r="H70" s="633"/>
      <c r="I70" s="633"/>
      <c r="J70" s="633"/>
      <c r="K70" s="633"/>
      <c r="L70" s="633"/>
      <c r="M70" s="633"/>
      <c r="N70" s="633"/>
      <c r="O70" s="633"/>
      <c r="P70" s="633"/>
      <c r="Q70" s="633"/>
      <c r="R70" s="633"/>
      <c r="S70" s="633"/>
      <c r="T70" s="633"/>
      <c r="U70" s="633"/>
      <c r="V70" s="633"/>
      <c r="W70" s="633"/>
      <c r="X70" s="633"/>
      <c r="Y70" s="633"/>
      <c r="Z70" s="633"/>
      <c r="AA70" s="633"/>
      <c r="AB70" s="633"/>
      <c r="AC70" s="633"/>
      <c r="AD70" s="633"/>
      <c r="AE70" s="633"/>
      <c r="AF70" s="633"/>
      <c r="AG70" s="633"/>
      <c r="AH70" s="633"/>
      <c r="AI70" s="633"/>
      <c r="AJ70" s="633"/>
      <c r="AK70" s="633"/>
      <c r="AL70" s="633"/>
      <c r="AM70" s="633"/>
      <c r="AN70" s="633"/>
      <c r="AO70" s="633"/>
      <c r="AP70" s="634"/>
    </row>
    <row r="71" spans="2:42" ht="25.8" x14ac:dyDescent="0.5">
      <c r="B71" s="6"/>
      <c r="C71" s="6"/>
      <c r="D71" s="6">
        <f t="shared" ref="D71:D134" si="6">D31+1</f>
        <v>2</v>
      </c>
      <c r="E71" s="635"/>
      <c r="F71" s="2">
        <v>2025</v>
      </c>
      <c r="G71" s="2">
        <f>F71+1</f>
        <v>2026</v>
      </c>
      <c r="H71" s="2">
        <f t="shared" ref="H71:AO71" si="7">G71+1</f>
        <v>2027</v>
      </c>
      <c r="I71" s="2">
        <f t="shared" si="7"/>
        <v>2028</v>
      </c>
      <c r="J71" s="2">
        <f t="shared" si="7"/>
        <v>2029</v>
      </c>
      <c r="K71" s="2">
        <f t="shared" si="7"/>
        <v>2030</v>
      </c>
      <c r="L71" s="2">
        <f t="shared" si="7"/>
        <v>2031</v>
      </c>
      <c r="M71" s="2">
        <f t="shared" si="7"/>
        <v>2032</v>
      </c>
      <c r="N71" s="2">
        <f t="shared" si="7"/>
        <v>2033</v>
      </c>
      <c r="O71" s="2">
        <f t="shared" si="7"/>
        <v>2034</v>
      </c>
      <c r="P71" s="2">
        <f t="shared" si="7"/>
        <v>2035</v>
      </c>
      <c r="Q71" s="2">
        <f t="shared" si="7"/>
        <v>2036</v>
      </c>
      <c r="R71" s="2">
        <f t="shared" si="7"/>
        <v>2037</v>
      </c>
      <c r="S71" s="2">
        <f t="shared" si="7"/>
        <v>2038</v>
      </c>
      <c r="T71" s="2">
        <f t="shared" si="7"/>
        <v>2039</v>
      </c>
      <c r="U71" s="2">
        <f t="shared" si="7"/>
        <v>2040</v>
      </c>
      <c r="V71" s="2">
        <f t="shared" si="7"/>
        <v>2041</v>
      </c>
      <c r="W71" s="2">
        <f t="shared" si="7"/>
        <v>2042</v>
      </c>
      <c r="X71" s="2">
        <f t="shared" si="7"/>
        <v>2043</v>
      </c>
      <c r="Y71" s="2">
        <f t="shared" si="7"/>
        <v>2044</v>
      </c>
      <c r="Z71" s="2">
        <f t="shared" si="7"/>
        <v>2045</v>
      </c>
      <c r="AA71" s="2">
        <f t="shared" si="7"/>
        <v>2046</v>
      </c>
      <c r="AB71" s="2">
        <f t="shared" si="7"/>
        <v>2047</v>
      </c>
      <c r="AC71" s="2">
        <f t="shared" si="7"/>
        <v>2048</v>
      </c>
      <c r="AD71" s="2">
        <f t="shared" si="7"/>
        <v>2049</v>
      </c>
      <c r="AE71" s="2">
        <f t="shared" si="7"/>
        <v>2050</v>
      </c>
      <c r="AF71" s="2">
        <f t="shared" si="7"/>
        <v>2051</v>
      </c>
      <c r="AG71" s="2">
        <f t="shared" si="7"/>
        <v>2052</v>
      </c>
      <c r="AH71" s="2">
        <f t="shared" si="7"/>
        <v>2053</v>
      </c>
      <c r="AI71" s="2">
        <f t="shared" si="7"/>
        <v>2054</v>
      </c>
      <c r="AJ71" s="2">
        <f t="shared" si="7"/>
        <v>2055</v>
      </c>
      <c r="AK71" s="2">
        <f t="shared" si="7"/>
        <v>2056</v>
      </c>
      <c r="AL71" s="2">
        <f t="shared" si="7"/>
        <v>2057</v>
      </c>
      <c r="AM71" s="2">
        <f t="shared" si="7"/>
        <v>2058</v>
      </c>
      <c r="AN71" s="2">
        <f t="shared" si="7"/>
        <v>2059</v>
      </c>
      <c r="AO71" s="2">
        <f t="shared" si="7"/>
        <v>2060</v>
      </c>
      <c r="AP71" s="163"/>
    </row>
    <row r="72" spans="2:42" x14ac:dyDescent="0.3">
      <c r="B72" s="6"/>
      <c r="C72" s="6"/>
      <c r="D72" s="6">
        <f t="shared" si="6"/>
        <v>2</v>
      </c>
      <c r="E72" s="636" t="str">
        <f t="shared" ref="E72:E90" si="8">E32</f>
        <v>Capacity - PJM Market</v>
      </c>
      <c r="F72" s="302"/>
      <c r="G72" s="302"/>
      <c r="H72" s="302"/>
      <c r="I72" s="302">
        <v>0</v>
      </c>
      <c r="J72" s="302">
        <v>0</v>
      </c>
      <c r="K72" s="302">
        <v>0</v>
      </c>
      <c r="L72" s="302">
        <v>0</v>
      </c>
      <c r="M72" s="302">
        <v>0</v>
      </c>
      <c r="N72" s="302">
        <v>0</v>
      </c>
      <c r="O72" s="302">
        <v>0</v>
      </c>
      <c r="P72" s="302">
        <v>0</v>
      </c>
      <c r="Q72" s="302">
        <v>0</v>
      </c>
      <c r="R72" s="302">
        <v>0</v>
      </c>
      <c r="S72" s="302">
        <v>0</v>
      </c>
      <c r="T72" s="302">
        <v>0</v>
      </c>
      <c r="U72" s="302">
        <v>0</v>
      </c>
      <c r="V72" s="302">
        <v>0</v>
      </c>
      <c r="W72" s="302">
        <v>0</v>
      </c>
      <c r="X72" s="302">
        <v>0</v>
      </c>
      <c r="Y72" s="302">
        <v>0</v>
      </c>
      <c r="Z72" s="302">
        <v>0</v>
      </c>
      <c r="AA72" s="302">
        <v>0</v>
      </c>
      <c r="AB72" s="302">
        <v>0</v>
      </c>
      <c r="AC72" s="302">
        <v>0</v>
      </c>
      <c r="AD72" s="302">
        <v>0</v>
      </c>
      <c r="AE72" s="302">
        <v>0</v>
      </c>
      <c r="AF72" s="302">
        <v>0</v>
      </c>
      <c r="AG72" s="302">
        <v>0</v>
      </c>
      <c r="AH72" s="302">
        <v>0</v>
      </c>
      <c r="AI72" s="302">
        <v>0</v>
      </c>
      <c r="AJ72" s="302">
        <v>0</v>
      </c>
      <c r="AK72" s="302">
        <v>0</v>
      </c>
      <c r="AL72" s="302">
        <v>0</v>
      </c>
      <c r="AM72" s="302">
        <v>0</v>
      </c>
      <c r="AN72" s="302">
        <v>0</v>
      </c>
      <c r="AO72" s="302">
        <v>0</v>
      </c>
      <c r="AP72" s="163"/>
    </row>
    <row r="73" spans="2:42" x14ac:dyDescent="0.3">
      <c r="B73" s="6"/>
      <c r="C73" s="6"/>
      <c r="D73" s="6">
        <f t="shared" si="6"/>
        <v>2</v>
      </c>
      <c r="E73" s="636" t="str">
        <f t="shared" si="8"/>
        <v>Energy Arbitrage - PJM Market</v>
      </c>
      <c r="F73" s="303"/>
      <c r="G73" s="304"/>
      <c r="H73" s="304"/>
      <c r="I73" s="304">
        <v>0</v>
      </c>
      <c r="J73" s="304">
        <v>0</v>
      </c>
      <c r="K73" s="304">
        <v>0</v>
      </c>
      <c r="L73" s="304">
        <v>0</v>
      </c>
      <c r="M73" s="304">
        <v>0</v>
      </c>
      <c r="N73" s="304">
        <v>0</v>
      </c>
      <c r="O73" s="304">
        <v>0</v>
      </c>
      <c r="P73" s="304">
        <v>0</v>
      </c>
      <c r="Q73" s="304">
        <v>0</v>
      </c>
      <c r="R73" s="304">
        <v>0</v>
      </c>
      <c r="S73" s="304">
        <v>0</v>
      </c>
      <c r="T73" s="304">
        <v>0</v>
      </c>
      <c r="U73" s="304">
        <v>0</v>
      </c>
      <c r="V73" s="304">
        <v>0</v>
      </c>
      <c r="W73" s="304">
        <v>0</v>
      </c>
      <c r="X73" s="304">
        <v>0</v>
      </c>
      <c r="Y73" s="304">
        <v>0</v>
      </c>
      <c r="Z73" s="304">
        <v>0</v>
      </c>
      <c r="AA73" s="304">
        <v>0</v>
      </c>
      <c r="AB73" s="304"/>
      <c r="AC73" s="304">
        <v>0</v>
      </c>
      <c r="AD73" s="304">
        <v>0</v>
      </c>
      <c r="AE73" s="304">
        <v>0</v>
      </c>
      <c r="AF73" s="304">
        <v>0</v>
      </c>
      <c r="AG73" s="304">
        <v>0</v>
      </c>
      <c r="AH73" s="304">
        <v>0</v>
      </c>
      <c r="AI73" s="304">
        <v>0</v>
      </c>
      <c r="AJ73" s="304">
        <v>0</v>
      </c>
      <c r="AK73" s="304">
        <v>0</v>
      </c>
      <c r="AL73" s="304">
        <v>0</v>
      </c>
      <c r="AM73" s="304">
        <v>0</v>
      </c>
      <c r="AN73" s="304">
        <v>0</v>
      </c>
      <c r="AO73" s="304">
        <v>0</v>
      </c>
      <c r="AP73" s="163"/>
    </row>
    <row r="74" spans="2:42" x14ac:dyDescent="0.3">
      <c r="B74" s="6"/>
      <c r="C74" s="6"/>
      <c r="D74" s="6">
        <f t="shared" si="6"/>
        <v>2</v>
      </c>
      <c r="E74" s="636" t="str">
        <f t="shared" si="8"/>
        <v>Spin- PJM Market</v>
      </c>
      <c r="F74" s="303"/>
      <c r="G74" s="304"/>
      <c r="H74" s="304"/>
      <c r="I74" s="304">
        <v>0</v>
      </c>
      <c r="J74" s="304">
        <v>0</v>
      </c>
      <c r="K74" s="304">
        <v>0</v>
      </c>
      <c r="L74" s="304">
        <v>0</v>
      </c>
      <c r="M74" s="304">
        <v>0</v>
      </c>
      <c r="N74" s="304">
        <v>0</v>
      </c>
      <c r="O74" s="304">
        <v>0</v>
      </c>
      <c r="P74" s="304">
        <v>0</v>
      </c>
      <c r="Q74" s="304">
        <v>0</v>
      </c>
      <c r="R74" s="304">
        <v>0</v>
      </c>
      <c r="S74" s="304">
        <v>0</v>
      </c>
      <c r="T74" s="304">
        <v>0</v>
      </c>
      <c r="U74" s="304">
        <v>0</v>
      </c>
      <c r="V74" s="304">
        <v>0</v>
      </c>
      <c r="W74" s="304">
        <v>0</v>
      </c>
      <c r="X74" s="304">
        <v>0</v>
      </c>
      <c r="Y74" s="304">
        <v>0</v>
      </c>
      <c r="Z74" s="304">
        <v>0</v>
      </c>
      <c r="AA74" s="304">
        <v>0</v>
      </c>
      <c r="AB74" s="304"/>
      <c r="AC74" s="304">
        <v>0</v>
      </c>
      <c r="AD74" s="304">
        <v>0</v>
      </c>
      <c r="AE74" s="304">
        <v>0</v>
      </c>
      <c r="AF74" s="304">
        <v>0</v>
      </c>
      <c r="AG74" s="304">
        <v>0</v>
      </c>
      <c r="AH74" s="304">
        <v>0</v>
      </c>
      <c r="AI74" s="304">
        <v>0</v>
      </c>
      <c r="AJ74" s="304">
        <v>0</v>
      </c>
      <c r="AK74" s="304">
        <v>0</v>
      </c>
      <c r="AL74" s="304">
        <v>0</v>
      </c>
      <c r="AM74" s="304">
        <v>0</v>
      </c>
      <c r="AN74" s="304">
        <v>0</v>
      </c>
      <c r="AO74" s="304">
        <v>0</v>
      </c>
      <c r="AP74" s="163"/>
    </row>
    <row r="75" spans="2:42" x14ac:dyDescent="0.3">
      <c r="B75" s="6"/>
      <c r="C75" s="6"/>
      <c r="D75" s="6">
        <f t="shared" si="6"/>
        <v>2</v>
      </c>
      <c r="E75" s="636" t="str">
        <f t="shared" si="8"/>
        <v>Non-Spin - PJM Market</v>
      </c>
      <c r="F75" s="303"/>
      <c r="G75" s="304"/>
      <c r="H75" s="304"/>
      <c r="I75" s="304">
        <v>0</v>
      </c>
      <c r="J75" s="304">
        <v>0</v>
      </c>
      <c r="K75" s="304">
        <v>0</v>
      </c>
      <c r="L75" s="304">
        <v>0</v>
      </c>
      <c r="M75" s="304">
        <v>0</v>
      </c>
      <c r="N75" s="304">
        <v>0</v>
      </c>
      <c r="O75" s="304">
        <v>0</v>
      </c>
      <c r="P75" s="304">
        <v>0</v>
      </c>
      <c r="Q75" s="304">
        <v>0</v>
      </c>
      <c r="R75" s="304">
        <v>0</v>
      </c>
      <c r="S75" s="304">
        <v>0</v>
      </c>
      <c r="T75" s="304">
        <v>0</v>
      </c>
      <c r="U75" s="304">
        <v>0</v>
      </c>
      <c r="V75" s="304">
        <v>0</v>
      </c>
      <c r="W75" s="304">
        <v>0</v>
      </c>
      <c r="X75" s="304">
        <v>0</v>
      </c>
      <c r="Y75" s="304">
        <v>0</v>
      </c>
      <c r="Z75" s="304">
        <v>0</v>
      </c>
      <c r="AA75" s="304">
        <v>0</v>
      </c>
      <c r="AB75" s="304"/>
      <c r="AC75" s="304">
        <v>0</v>
      </c>
      <c r="AD75" s="304">
        <v>0</v>
      </c>
      <c r="AE75" s="304">
        <v>0</v>
      </c>
      <c r="AF75" s="304">
        <v>0</v>
      </c>
      <c r="AG75" s="304">
        <v>0</v>
      </c>
      <c r="AH75" s="304">
        <v>0</v>
      </c>
      <c r="AI75" s="304">
        <v>0</v>
      </c>
      <c r="AJ75" s="304">
        <v>0</v>
      </c>
      <c r="AK75" s="304">
        <v>0</v>
      </c>
      <c r="AL75" s="304">
        <v>0</v>
      </c>
      <c r="AM75" s="304">
        <v>0</v>
      </c>
      <c r="AN75" s="304">
        <v>0</v>
      </c>
      <c r="AO75" s="304">
        <v>0</v>
      </c>
      <c r="AP75" s="163"/>
    </row>
    <row r="76" spans="2:42" x14ac:dyDescent="0.3">
      <c r="B76" s="6"/>
      <c r="C76" s="6"/>
      <c r="D76" s="6">
        <f t="shared" si="6"/>
        <v>2</v>
      </c>
      <c r="E76" s="636" t="str">
        <f t="shared" si="8"/>
        <v>Regulation - PJM Market</v>
      </c>
      <c r="F76" s="303"/>
      <c r="G76" s="304"/>
      <c r="H76" s="304"/>
      <c r="I76" s="304">
        <v>0</v>
      </c>
      <c r="J76" s="304">
        <v>0</v>
      </c>
      <c r="K76" s="304">
        <v>0</v>
      </c>
      <c r="L76" s="304">
        <v>0</v>
      </c>
      <c r="M76" s="304">
        <v>0</v>
      </c>
      <c r="N76" s="304">
        <v>0</v>
      </c>
      <c r="O76" s="304">
        <v>0</v>
      </c>
      <c r="P76" s="304">
        <v>0</v>
      </c>
      <c r="Q76" s="304">
        <v>0</v>
      </c>
      <c r="R76" s="304">
        <v>0</v>
      </c>
      <c r="S76" s="304">
        <v>0</v>
      </c>
      <c r="T76" s="304">
        <v>0</v>
      </c>
      <c r="U76" s="304">
        <v>0</v>
      </c>
      <c r="V76" s="304">
        <v>0</v>
      </c>
      <c r="W76" s="304">
        <v>0</v>
      </c>
      <c r="X76" s="304">
        <v>0</v>
      </c>
      <c r="Y76" s="304">
        <v>0</v>
      </c>
      <c r="Z76" s="304">
        <v>0</v>
      </c>
      <c r="AA76" s="304">
        <v>0</v>
      </c>
      <c r="AB76" s="304"/>
      <c r="AC76" s="304">
        <v>0</v>
      </c>
      <c r="AD76" s="304">
        <v>0</v>
      </c>
      <c r="AE76" s="304">
        <v>0</v>
      </c>
      <c r="AF76" s="304">
        <v>0</v>
      </c>
      <c r="AG76" s="304">
        <v>0</v>
      </c>
      <c r="AH76" s="304">
        <v>0</v>
      </c>
      <c r="AI76" s="304">
        <v>0</v>
      </c>
      <c r="AJ76" s="304">
        <v>0</v>
      </c>
      <c r="AK76" s="304">
        <v>0</v>
      </c>
      <c r="AL76" s="304">
        <v>0</v>
      </c>
      <c r="AM76" s="304">
        <v>0</v>
      </c>
      <c r="AN76" s="304">
        <v>0</v>
      </c>
      <c r="AO76" s="304">
        <v>0</v>
      </c>
      <c r="AP76" s="163"/>
    </row>
    <row r="77" spans="2:42" x14ac:dyDescent="0.3">
      <c r="B77" s="6"/>
      <c r="C77" s="6"/>
      <c r="D77" s="6">
        <f t="shared" si="6"/>
        <v>2</v>
      </c>
      <c r="E77" s="636" t="str">
        <f t="shared" si="8"/>
        <v>Incurred Energy Charges</v>
      </c>
      <c r="F77" s="303"/>
      <c r="G77" s="304"/>
      <c r="H77" s="304"/>
      <c r="I77" s="304">
        <v>0</v>
      </c>
      <c r="J77" s="304">
        <v>0</v>
      </c>
      <c r="K77" s="304">
        <v>0</v>
      </c>
      <c r="L77" s="304">
        <v>0</v>
      </c>
      <c r="M77" s="304">
        <v>0</v>
      </c>
      <c r="N77" s="304">
        <v>0</v>
      </c>
      <c r="O77" s="304">
        <v>0</v>
      </c>
      <c r="P77" s="304">
        <v>0</v>
      </c>
      <c r="Q77" s="304">
        <v>0</v>
      </c>
      <c r="R77" s="304">
        <v>0</v>
      </c>
      <c r="S77" s="304">
        <v>0</v>
      </c>
      <c r="T77" s="304">
        <v>0</v>
      </c>
      <c r="U77" s="304">
        <v>0</v>
      </c>
      <c r="V77" s="304">
        <v>0</v>
      </c>
      <c r="W77" s="304">
        <v>0</v>
      </c>
      <c r="X77" s="304">
        <v>0</v>
      </c>
      <c r="Y77" s="304">
        <v>0</v>
      </c>
      <c r="Z77" s="304">
        <v>0</v>
      </c>
      <c r="AA77" s="304">
        <v>0</v>
      </c>
      <c r="AB77" s="304"/>
      <c r="AC77" s="304">
        <v>0</v>
      </c>
      <c r="AD77" s="304">
        <v>0</v>
      </c>
      <c r="AE77" s="304">
        <v>0</v>
      </c>
      <c r="AF77" s="304">
        <v>0</v>
      </c>
      <c r="AG77" s="304">
        <v>0</v>
      </c>
      <c r="AH77" s="304">
        <v>0</v>
      </c>
      <c r="AI77" s="304">
        <v>0</v>
      </c>
      <c r="AJ77" s="304">
        <v>0</v>
      </c>
      <c r="AK77" s="304">
        <v>0</v>
      </c>
      <c r="AL77" s="304">
        <v>0</v>
      </c>
      <c r="AM77" s="304">
        <v>0</v>
      </c>
      <c r="AN77" s="304">
        <v>0</v>
      </c>
      <c r="AO77" s="304">
        <v>0</v>
      </c>
      <c r="AP77" s="163"/>
    </row>
    <row r="78" spans="2:42" x14ac:dyDescent="0.3">
      <c r="B78" s="6"/>
      <c r="C78" s="6"/>
      <c r="D78" s="6">
        <f t="shared" si="6"/>
        <v>2</v>
      </c>
      <c r="E78" s="636" t="str">
        <f t="shared" si="8"/>
        <v>As Used Demand Charges</v>
      </c>
      <c r="F78" s="303"/>
      <c r="G78" s="304"/>
      <c r="H78" s="304"/>
      <c r="I78" s="304">
        <v>0</v>
      </c>
      <c r="J78" s="304">
        <v>0</v>
      </c>
      <c r="K78" s="304">
        <v>0</v>
      </c>
      <c r="L78" s="304">
        <v>0</v>
      </c>
      <c r="M78" s="304">
        <v>0</v>
      </c>
      <c r="N78" s="304">
        <v>0</v>
      </c>
      <c r="O78" s="304">
        <v>0</v>
      </c>
      <c r="P78" s="304">
        <v>0</v>
      </c>
      <c r="Q78" s="304">
        <v>0</v>
      </c>
      <c r="R78" s="304">
        <v>0</v>
      </c>
      <c r="S78" s="304">
        <v>0</v>
      </c>
      <c r="T78" s="304">
        <v>0</v>
      </c>
      <c r="U78" s="304">
        <v>0</v>
      </c>
      <c r="V78" s="304">
        <v>0</v>
      </c>
      <c r="W78" s="304">
        <v>0</v>
      </c>
      <c r="X78" s="304">
        <v>0</v>
      </c>
      <c r="Y78" s="304">
        <v>0</v>
      </c>
      <c r="Z78" s="304">
        <v>0</v>
      </c>
      <c r="AA78" s="304">
        <v>0</v>
      </c>
      <c r="AB78" s="304"/>
      <c r="AC78" s="304">
        <v>0</v>
      </c>
      <c r="AD78" s="304">
        <v>0</v>
      </c>
      <c r="AE78" s="304">
        <v>0</v>
      </c>
      <c r="AF78" s="304">
        <v>0</v>
      </c>
      <c r="AG78" s="304">
        <v>0</v>
      </c>
      <c r="AH78" s="304">
        <v>0</v>
      </c>
      <c r="AI78" s="304">
        <v>0</v>
      </c>
      <c r="AJ78" s="304">
        <v>0</v>
      </c>
      <c r="AK78" s="304">
        <v>0</v>
      </c>
      <c r="AL78" s="304">
        <v>0</v>
      </c>
      <c r="AM78" s="304">
        <v>0</v>
      </c>
      <c r="AN78" s="304">
        <v>0</v>
      </c>
      <c r="AO78" s="304">
        <v>0</v>
      </c>
      <c r="AP78" s="163"/>
    </row>
    <row r="79" spans="2:42" x14ac:dyDescent="0.3">
      <c r="B79" s="6"/>
      <c r="C79" s="6"/>
      <c r="D79" s="6">
        <f t="shared" si="6"/>
        <v>2</v>
      </c>
      <c r="E79" s="636" t="str">
        <f t="shared" si="8"/>
        <v>Contract Demand Charges  Fixed</v>
      </c>
      <c r="F79" s="303"/>
      <c r="G79" s="304"/>
      <c r="H79" s="304"/>
      <c r="I79" s="304">
        <v>0</v>
      </c>
      <c r="J79" s="304">
        <v>0</v>
      </c>
      <c r="K79" s="304">
        <v>0</v>
      </c>
      <c r="L79" s="304">
        <v>0</v>
      </c>
      <c r="M79" s="304">
        <v>0</v>
      </c>
      <c r="N79" s="304">
        <v>0</v>
      </c>
      <c r="O79" s="304">
        <v>0</v>
      </c>
      <c r="P79" s="304">
        <v>0</v>
      </c>
      <c r="Q79" s="304">
        <v>0</v>
      </c>
      <c r="R79" s="304">
        <v>0</v>
      </c>
      <c r="S79" s="304">
        <v>0</v>
      </c>
      <c r="T79" s="304">
        <v>0</v>
      </c>
      <c r="U79" s="304">
        <v>0</v>
      </c>
      <c r="V79" s="304">
        <v>0</v>
      </c>
      <c r="W79" s="304">
        <v>0</v>
      </c>
      <c r="X79" s="304">
        <v>0</v>
      </c>
      <c r="Y79" s="304">
        <v>0</v>
      </c>
      <c r="Z79" s="304">
        <v>0</v>
      </c>
      <c r="AA79" s="304">
        <v>0</v>
      </c>
      <c r="AB79" s="304"/>
      <c r="AC79" s="304">
        <v>0</v>
      </c>
      <c r="AD79" s="304">
        <v>0</v>
      </c>
      <c r="AE79" s="304">
        <v>0</v>
      </c>
      <c r="AF79" s="304">
        <v>0</v>
      </c>
      <c r="AG79" s="304">
        <v>0</v>
      </c>
      <c r="AH79" s="304">
        <v>0</v>
      </c>
      <c r="AI79" s="304">
        <v>0</v>
      </c>
      <c r="AJ79" s="304">
        <v>0</v>
      </c>
      <c r="AK79" s="304">
        <v>0</v>
      </c>
      <c r="AL79" s="304">
        <v>0</v>
      </c>
      <c r="AM79" s="304">
        <v>0</v>
      </c>
      <c r="AN79" s="304">
        <v>0</v>
      </c>
      <c r="AO79" s="304">
        <v>0</v>
      </c>
      <c r="AP79" s="163"/>
    </row>
    <row r="80" spans="2:42" x14ac:dyDescent="0.3">
      <c r="B80" s="6"/>
      <c r="C80" s="6"/>
      <c r="D80" s="6">
        <f t="shared" si="6"/>
        <v>2</v>
      </c>
      <c r="E80" s="636" t="str">
        <f t="shared" si="8"/>
        <v>Customer Charges/ Fixed Charges</v>
      </c>
      <c r="F80" s="303"/>
      <c r="G80" s="304"/>
      <c r="H80" s="304"/>
      <c r="I80" s="304">
        <v>0</v>
      </c>
      <c r="J80" s="304">
        <v>0</v>
      </c>
      <c r="K80" s="304">
        <v>0</v>
      </c>
      <c r="L80" s="304">
        <v>0</v>
      </c>
      <c r="M80" s="304">
        <v>0</v>
      </c>
      <c r="N80" s="304">
        <v>0</v>
      </c>
      <c r="O80" s="304">
        <v>0</v>
      </c>
      <c r="P80" s="304">
        <v>0</v>
      </c>
      <c r="Q80" s="304">
        <v>0</v>
      </c>
      <c r="R80" s="304">
        <v>0</v>
      </c>
      <c r="S80" s="304">
        <v>0</v>
      </c>
      <c r="T80" s="304">
        <v>0</v>
      </c>
      <c r="U80" s="304">
        <v>0</v>
      </c>
      <c r="V80" s="304">
        <v>0</v>
      </c>
      <c r="W80" s="304">
        <v>0</v>
      </c>
      <c r="X80" s="304">
        <v>0</v>
      </c>
      <c r="Y80" s="304">
        <v>0</v>
      </c>
      <c r="Z80" s="304">
        <v>0</v>
      </c>
      <c r="AA80" s="304">
        <v>0</v>
      </c>
      <c r="AB80" s="304"/>
      <c r="AC80" s="304">
        <v>0</v>
      </c>
      <c r="AD80" s="304">
        <v>0</v>
      </c>
      <c r="AE80" s="304">
        <v>0</v>
      </c>
      <c r="AF80" s="304">
        <v>0</v>
      </c>
      <c r="AG80" s="304">
        <v>0</v>
      </c>
      <c r="AH80" s="304">
        <v>0</v>
      </c>
      <c r="AI80" s="304">
        <v>0</v>
      </c>
      <c r="AJ80" s="304">
        <v>0</v>
      </c>
      <c r="AK80" s="304">
        <v>0</v>
      </c>
      <c r="AL80" s="304">
        <v>0</v>
      </c>
      <c r="AM80" s="304">
        <v>0</v>
      </c>
      <c r="AN80" s="304">
        <v>0</v>
      </c>
      <c r="AO80" s="304">
        <v>0</v>
      </c>
      <c r="AP80" s="163"/>
    </row>
    <row r="81" spans="1:42" x14ac:dyDescent="0.3">
      <c r="B81" s="6"/>
      <c r="C81" s="6"/>
      <c r="D81" s="6">
        <f t="shared" si="6"/>
        <v>2</v>
      </c>
      <c r="E81" s="637" t="str">
        <f t="shared" si="8"/>
        <v>Energy Savings</v>
      </c>
      <c r="F81" s="303"/>
      <c r="G81" s="304"/>
      <c r="H81" s="304"/>
      <c r="I81" s="304">
        <v>1923.3248858751599</v>
      </c>
      <c r="J81" s="304">
        <v>1597.6502856408401</v>
      </c>
      <c r="K81" s="304">
        <v>1677.1865661628701</v>
      </c>
      <c r="L81" s="617">
        <v>1763.5635734487598</v>
      </c>
      <c r="M81" s="617">
        <v>2060.8637058393497</v>
      </c>
      <c r="N81" s="617">
        <v>2066.8156010606176</v>
      </c>
      <c r="O81" s="617">
        <v>2072.7674962818855</v>
      </c>
      <c r="P81" s="617">
        <v>2078.7193915031535</v>
      </c>
      <c r="Q81" s="617">
        <v>2084.6712867244214</v>
      </c>
      <c r="R81" s="617">
        <v>2090.6231819456898</v>
      </c>
      <c r="S81" s="617">
        <v>2193.0822032305637</v>
      </c>
      <c r="T81" s="617">
        <v>2295.5412245154375</v>
      </c>
      <c r="U81" s="617">
        <v>2398.0002458003114</v>
      </c>
      <c r="V81" s="617">
        <v>2500.4592670851853</v>
      </c>
      <c r="W81" s="617">
        <v>2602.9182883700601</v>
      </c>
      <c r="X81" s="617">
        <v>2708.3322642938201</v>
      </c>
      <c r="Y81" s="617">
        <v>2813.7462402175802</v>
      </c>
      <c r="Z81" s="617">
        <v>2919.1602161413402</v>
      </c>
      <c r="AA81" s="617">
        <v>3024.5741920651003</v>
      </c>
      <c r="AB81" s="304">
        <v>3129.9881679888599</v>
      </c>
      <c r="AC81" s="304">
        <v>0</v>
      </c>
      <c r="AD81" s="304">
        <v>0</v>
      </c>
      <c r="AE81" s="304">
        <v>0</v>
      </c>
      <c r="AF81" s="304">
        <v>0</v>
      </c>
      <c r="AG81" s="304">
        <v>0</v>
      </c>
      <c r="AH81" s="304">
        <v>0</v>
      </c>
      <c r="AI81" s="304">
        <v>0</v>
      </c>
      <c r="AJ81" s="304">
        <v>0</v>
      </c>
      <c r="AK81" s="304">
        <v>0</v>
      </c>
      <c r="AL81" s="304">
        <v>0</v>
      </c>
      <c r="AM81" s="304">
        <v>0</v>
      </c>
      <c r="AN81" s="304">
        <v>0</v>
      </c>
      <c r="AO81" s="304">
        <v>0</v>
      </c>
      <c r="AP81" s="163"/>
    </row>
    <row r="82" spans="1:42" x14ac:dyDescent="0.3">
      <c r="B82" s="6"/>
      <c r="C82" s="6"/>
      <c r="D82" s="6">
        <f t="shared" si="6"/>
        <v>2</v>
      </c>
      <c r="E82" s="637" t="str">
        <f t="shared" si="8"/>
        <v xml:space="preserve">Demand Savings </v>
      </c>
      <c r="F82" s="303"/>
      <c r="G82" s="304"/>
      <c r="H82" s="304"/>
      <c r="I82" s="304">
        <v>0</v>
      </c>
      <c r="J82" s="304">
        <v>0</v>
      </c>
      <c r="K82" s="304">
        <v>0</v>
      </c>
      <c r="L82" s="617">
        <v>0</v>
      </c>
      <c r="M82" s="617">
        <v>0</v>
      </c>
      <c r="N82" s="617">
        <v>0</v>
      </c>
      <c r="O82" s="617">
        <v>0</v>
      </c>
      <c r="P82" s="617">
        <v>0</v>
      </c>
      <c r="Q82" s="617">
        <v>0</v>
      </c>
      <c r="R82" s="617">
        <v>0</v>
      </c>
      <c r="S82" s="617">
        <v>0</v>
      </c>
      <c r="T82" s="617">
        <v>0</v>
      </c>
      <c r="U82" s="617">
        <v>0</v>
      </c>
      <c r="V82" s="617">
        <v>0</v>
      </c>
      <c r="W82" s="617">
        <v>0</v>
      </c>
      <c r="X82" s="617">
        <v>0</v>
      </c>
      <c r="Y82" s="617">
        <v>0</v>
      </c>
      <c r="Z82" s="617">
        <v>0</v>
      </c>
      <c r="AA82" s="617">
        <v>0</v>
      </c>
      <c r="AB82" s="304"/>
      <c r="AC82" s="304">
        <v>0</v>
      </c>
      <c r="AD82" s="304">
        <v>0</v>
      </c>
      <c r="AE82" s="304">
        <v>0</v>
      </c>
      <c r="AF82" s="304">
        <v>0</v>
      </c>
      <c r="AG82" s="304">
        <v>0</v>
      </c>
      <c r="AH82" s="304">
        <v>0</v>
      </c>
      <c r="AI82" s="304">
        <v>0</v>
      </c>
      <c r="AJ82" s="304">
        <v>0</v>
      </c>
      <c r="AK82" s="304">
        <v>0</v>
      </c>
      <c r="AL82" s="304">
        <v>0</v>
      </c>
      <c r="AM82" s="304">
        <v>0</v>
      </c>
      <c r="AN82" s="304">
        <v>0</v>
      </c>
      <c r="AO82" s="304">
        <v>0</v>
      </c>
      <c r="AP82" s="163"/>
    </row>
    <row r="83" spans="1:42" x14ac:dyDescent="0.3">
      <c r="B83" s="6"/>
      <c r="C83" s="6"/>
      <c r="D83" s="6">
        <f t="shared" si="6"/>
        <v>2</v>
      </c>
      <c r="E83" s="638" t="str">
        <f t="shared" si="8"/>
        <v>Energy Generation - Export</v>
      </c>
      <c r="F83" s="303"/>
      <c r="G83" s="304"/>
      <c r="H83" s="304"/>
      <c r="I83" s="304">
        <v>0</v>
      </c>
      <c r="J83" s="304">
        <v>0</v>
      </c>
      <c r="K83" s="304">
        <v>0</v>
      </c>
      <c r="L83" s="617">
        <v>0</v>
      </c>
      <c r="M83" s="617">
        <v>0</v>
      </c>
      <c r="N83" s="617">
        <v>0</v>
      </c>
      <c r="O83" s="617">
        <v>0</v>
      </c>
      <c r="P83" s="617">
        <v>0</v>
      </c>
      <c r="Q83" s="617">
        <v>0</v>
      </c>
      <c r="R83" s="617">
        <v>0</v>
      </c>
      <c r="S83" s="617">
        <v>0</v>
      </c>
      <c r="T83" s="617">
        <v>0</v>
      </c>
      <c r="U83" s="617">
        <v>0</v>
      </c>
      <c r="V83" s="617">
        <v>0</v>
      </c>
      <c r="W83" s="617">
        <v>0</v>
      </c>
      <c r="X83" s="617">
        <v>0</v>
      </c>
      <c r="Y83" s="617">
        <v>0</v>
      </c>
      <c r="Z83" s="617">
        <v>0</v>
      </c>
      <c r="AA83" s="617">
        <v>0</v>
      </c>
      <c r="AB83" s="304"/>
      <c r="AC83" s="304">
        <v>0</v>
      </c>
      <c r="AD83" s="304">
        <v>0</v>
      </c>
      <c r="AE83" s="304">
        <v>0</v>
      </c>
      <c r="AF83" s="304">
        <v>0</v>
      </c>
      <c r="AG83" s="304">
        <v>0</v>
      </c>
      <c r="AH83" s="304">
        <v>0</v>
      </c>
      <c r="AI83" s="304">
        <v>0</v>
      </c>
      <c r="AJ83" s="304">
        <v>0</v>
      </c>
      <c r="AK83" s="304">
        <v>0</v>
      </c>
      <c r="AL83" s="304">
        <v>0</v>
      </c>
      <c r="AM83" s="304">
        <v>0</v>
      </c>
      <c r="AN83" s="304">
        <v>0</v>
      </c>
      <c r="AO83" s="304">
        <v>0</v>
      </c>
      <c r="AP83" s="163"/>
    </row>
    <row r="84" spans="1:42" x14ac:dyDescent="0.3">
      <c r="B84" s="6"/>
      <c r="C84" s="6"/>
      <c r="D84" s="6">
        <f t="shared" si="6"/>
        <v>2</v>
      </c>
      <c r="E84" s="638" t="str">
        <f t="shared" si="8"/>
        <v>Generation Capacity</v>
      </c>
      <c r="F84" s="303"/>
      <c r="G84" s="304"/>
      <c r="H84" s="304"/>
      <c r="I84" s="304">
        <v>1822.8968804157394</v>
      </c>
      <c r="J84" s="304">
        <v>1822.8968804157394</v>
      </c>
      <c r="K84" s="304">
        <v>1458.3175043325914</v>
      </c>
      <c r="L84" s="617">
        <v>1458.3175043325914</v>
      </c>
      <c r="M84" s="617">
        <v>1458.3175043325914</v>
      </c>
      <c r="N84" s="617">
        <v>1458.3175043325914</v>
      </c>
      <c r="O84" s="617">
        <v>1458.3175043325914</v>
      </c>
      <c r="P84" s="617">
        <v>1458.3175043325914</v>
      </c>
      <c r="Q84" s="617">
        <v>1458.3175043325914</v>
      </c>
      <c r="R84" s="617">
        <v>1458.3175043325914</v>
      </c>
      <c r="S84" s="617">
        <v>1501.8330834303224</v>
      </c>
      <c r="T84" s="617">
        <v>1545.3486625280536</v>
      </c>
      <c r="U84" s="617">
        <v>1588.8642416257846</v>
      </c>
      <c r="V84" s="617">
        <v>1632.3798207235159</v>
      </c>
      <c r="W84" s="617">
        <v>1675.8953998212469</v>
      </c>
      <c r="X84" s="617">
        <v>1722.5375929548229</v>
      </c>
      <c r="Y84" s="617">
        <v>1769.1797860883989</v>
      </c>
      <c r="Z84" s="617">
        <v>1815.8219792219747</v>
      </c>
      <c r="AA84" s="617">
        <v>1862.4641723555508</v>
      </c>
      <c r="AB84" s="304">
        <v>1909.1063654891268</v>
      </c>
      <c r="AC84" s="304">
        <v>0</v>
      </c>
      <c r="AD84" s="304">
        <v>0</v>
      </c>
      <c r="AE84" s="304">
        <v>0</v>
      </c>
      <c r="AF84" s="304">
        <v>0</v>
      </c>
      <c r="AG84" s="304">
        <v>0</v>
      </c>
      <c r="AH84" s="304">
        <v>0</v>
      </c>
      <c r="AI84" s="304">
        <v>0</v>
      </c>
      <c r="AJ84" s="304">
        <v>0</v>
      </c>
      <c r="AK84" s="304">
        <v>0</v>
      </c>
      <c r="AL84" s="304">
        <v>0</v>
      </c>
      <c r="AM84" s="304">
        <v>0</v>
      </c>
      <c r="AN84" s="304">
        <v>0</v>
      </c>
      <c r="AO84" s="304">
        <v>0</v>
      </c>
      <c r="AP84" s="163"/>
    </row>
    <row r="85" spans="1:42" x14ac:dyDescent="0.3">
      <c r="B85" s="6"/>
      <c r="C85" s="6"/>
      <c r="D85" s="6">
        <f t="shared" si="6"/>
        <v>2</v>
      </c>
      <c r="E85" s="638" t="str">
        <f t="shared" si="8"/>
        <v>Transmission Capacity</v>
      </c>
      <c r="F85" s="303"/>
      <c r="G85" s="304"/>
      <c r="H85" s="304"/>
      <c r="I85" s="304">
        <v>610.81019434345444</v>
      </c>
      <c r="J85" s="304">
        <v>610.81019434345444</v>
      </c>
      <c r="K85" s="304">
        <v>488.6481554747636</v>
      </c>
      <c r="L85" s="617">
        <v>488.6481554747636</v>
      </c>
      <c r="M85" s="617">
        <v>488.6481554747636</v>
      </c>
      <c r="N85" s="617">
        <v>488.6481554747636</v>
      </c>
      <c r="O85" s="617">
        <v>488.6481554747636</v>
      </c>
      <c r="P85" s="617">
        <v>488.6481554747636</v>
      </c>
      <c r="Q85" s="617">
        <v>488.6481554747636</v>
      </c>
      <c r="R85" s="617">
        <v>488.6481554747636</v>
      </c>
      <c r="S85" s="617">
        <v>496.23734367069699</v>
      </c>
      <c r="T85" s="617">
        <v>503.82653186663038</v>
      </c>
      <c r="U85" s="617">
        <v>511.41572006256376</v>
      </c>
      <c r="V85" s="617">
        <v>519.00490825849715</v>
      </c>
      <c r="W85" s="617">
        <v>526.59409645443054</v>
      </c>
      <c r="X85" s="617">
        <v>541.24984618227643</v>
      </c>
      <c r="Y85" s="617">
        <v>555.90559591012232</v>
      </c>
      <c r="Z85" s="617">
        <v>570.56134563796832</v>
      </c>
      <c r="AA85" s="617">
        <v>585.2170953658142</v>
      </c>
      <c r="AB85" s="304">
        <v>599.87284509366009</v>
      </c>
      <c r="AC85" s="304">
        <v>0</v>
      </c>
      <c r="AD85" s="304">
        <v>0</v>
      </c>
      <c r="AE85" s="304">
        <v>0</v>
      </c>
      <c r="AF85" s="304">
        <v>0</v>
      </c>
      <c r="AG85" s="304">
        <v>0</v>
      </c>
      <c r="AH85" s="304">
        <v>0</v>
      </c>
      <c r="AI85" s="304">
        <v>0</v>
      </c>
      <c r="AJ85" s="304">
        <v>0</v>
      </c>
      <c r="AK85" s="304">
        <v>0</v>
      </c>
      <c r="AL85" s="304">
        <v>0</v>
      </c>
      <c r="AM85" s="304">
        <v>0</v>
      </c>
      <c r="AN85" s="304">
        <v>0</v>
      </c>
      <c r="AO85" s="304">
        <v>0</v>
      </c>
      <c r="AP85" s="163"/>
    </row>
    <row r="86" spans="1:42" x14ac:dyDescent="0.3">
      <c r="B86" s="6"/>
      <c r="C86" s="6"/>
      <c r="D86" s="6">
        <f t="shared" si="6"/>
        <v>2</v>
      </c>
      <c r="E86" s="638" t="str">
        <f t="shared" si="8"/>
        <v>Distribution Capacity</v>
      </c>
      <c r="F86" s="303"/>
      <c r="G86" s="304"/>
      <c r="H86" s="304"/>
      <c r="I86" s="304">
        <v>150.57352266807993</v>
      </c>
      <c r="J86" s="304">
        <v>150.57352266807993</v>
      </c>
      <c r="K86" s="304">
        <v>118.4032069035004</v>
      </c>
      <c r="L86" s="617">
        <v>121.69218487304208</v>
      </c>
      <c r="M86" s="617">
        <v>113.57261737195951</v>
      </c>
      <c r="N86" s="617">
        <v>114.62095972750623</v>
      </c>
      <c r="O86" s="617">
        <v>115.66930208305295</v>
      </c>
      <c r="P86" s="617">
        <v>116.71764443859966</v>
      </c>
      <c r="Q86" s="617">
        <v>117.76598679414639</v>
      </c>
      <c r="R86" s="617">
        <v>118.81432914969311</v>
      </c>
      <c r="S86" s="617">
        <v>122.09955957132564</v>
      </c>
      <c r="T86" s="617">
        <v>125.38478999295819</v>
      </c>
      <c r="U86" s="617">
        <v>128.67002041459074</v>
      </c>
      <c r="V86" s="617">
        <v>131.95525083622326</v>
      </c>
      <c r="W86" s="617">
        <v>135.24048125785581</v>
      </c>
      <c r="X86" s="617">
        <v>137.32257517749642</v>
      </c>
      <c r="Y86" s="617">
        <v>139.40466909713703</v>
      </c>
      <c r="Z86" s="617">
        <v>141.48676301677764</v>
      </c>
      <c r="AA86" s="617">
        <v>143.56885693641826</v>
      </c>
      <c r="AB86" s="304">
        <v>145.65095085605887</v>
      </c>
      <c r="AC86" s="304">
        <v>0</v>
      </c>
      <c r="AD86" s="304">
        <v>0</v>
      </c>
      <c r="AE86" s="304">
        <v>0</v>
      </c>
      <c r="AF86" s="304">
        <v>0</v>
      </c>
      <c r="AG86" s="304">
        <v>0</v>
      </c>
      <c r="AH86" s="304">
        <v>0</v>
      </c>
      <c r="AI86" s="304">
        <v>0</v>
      </c>
      <c r="AJ86" s="304">
        <v>0</v>
      </c>
      <c r="AK86" s="304">
        <v>0</v>
      </c>
      <c r="AL86" s="304">
        <v>0</v>
      </c>
      <c r="AM86" s="304">
        <v>0</v>
      </c>
      <c r="AN86" s="304">
        <v>0</v>
      </c>
      <c r="AO86" s="304">
        <v>0</v>
      </c>
      <c r="AP86" s="163"/>
    </row>
    <row r="87" spans="1:42" x14ac:dyDescent="0.3">
      <c r="B87" s="6"/>
      <c r="C87" s="6"/>
      <c r="D87" s="6">
        <f t="shared" si="6"/>
        <v>2</v>
      </c>
      <c r="E87" s="638" t="str">
        <f t="shared" si="8"/>
        <v>GHG Impacts</v>
      </c>
      <c r="F87" s="303"/>
      <c r="G87" s="304"/>
      <c r="H87" s="304"/>
      <c r="I87" s="304">
        <v>717.38573053998243</v>
      </c>
      <c r="J87" s="304">
        <v>587.33828703529389</v>
      </c>
      <c r="K87" s="304">
        <v>315.02754027610985</v>
      </c>
      <c r="L87" s="617">
        <v>412.40616634167606</v>
      </c>
      <c r="M87" s="617">
        <v>563.23100047934895</v>
      </c>
      <c r="N87" s="617">
        <v>693.06533532938488</v>
      </c>
      <c r="O87" s="617">
        <v>822.89967017942081</v>
      </c>
      <c r="P87" s="617">
        <v>952.73400502945674</v>
      </c>
      <c r="Q87" s="617">
        <v>1082.5683398794927</v>
      </c>
      <c r="R87" s="617">
        <v>1212.4026747295286</v>
      </c>
      <c r="S87" s="617">
        <v>1308.6182705847655</v>
      </c>
      <c r="T87" s="617">
        <v>1404.8338664400026</v>
      </c>
      <c r="U87" s="617">
        <v>1501.0494622952394</v>
      </c>
      <c r="V87" s="617">
        <v>1597.2650581504763</v>
      </c>
      <c r="W87" s="617">
        <v>1693.4806540057134</v>
      </c>
      <c r="X87" s="617">
        <v>1798.5166088105241</v>
      </c>
      <c r="Y87" s="617">
        <v>1903.5525636153347</v>
      </c>
      <c r="Z87" s="617">
        <v>2008.5885184201456</v>
      </c>
      <c r="AA87" s="617">
        <v>2113.6244732249561</v>
      </c>
      <c r="AB87" s="304">
        <v>2218.660428029767</v>
      </c>
      <c r="AC87" s="304">
        <v>0</v>
      </c>
      <c r="AD87" s="304">
        <v>0</v>
      </c>
      <c r="AE87" s="304">
        <v>0</v>
      </c>
      <c r="AF87" s="304">
        <v>0</v>
      </c>
      <c r="AG87" s="304">
        <v>0</v>
      </c>
      <c r="AH87" s="304">
        <v>0</v>
      </c>
      <c r="AI87" s="304">
        <v>0</v>
      </c>
      <c r="AJ87" s="304">
        <v>0</v>
      </c>
      <c r="AK87" s="304">
        <v>0</v>
      </c>
      <c r="AL87" s="304">
        <v>0</v>
      </c>
      <c r="AM87" s="304">
        <v>0</v>
      </c>
      <c r="AN87" s="304">
        <v>0</v>
      </c>
      <c r="AO87" s="304">
        <v>0</v>
      </c>
      <c r="AP87" s="163"/>
    </row>
    <row r="88" spans="1:42" x14ac:dyDescent="0.3">
      <c r="B88" s="6"/>
      <c r="C88" s="6"/>
      <c r="D88" s="6">
        <f t="shared" si="6"/>
        <v>2</v>
      </c>
      <c r="E88" s="638" t="str">
        <f t="shared" si="8"/>
        <v>Market Price Effects - Wholesale Energy</v>
      </c>
      <c r="F88" s="303"/>
      <c r="G88" s="304"/>
      <c r="H88" s="304"/>
      <c r="I88" s="304">
        <v>115.17624351173134</v>
      </c>
      <c r="J88" s="304">
        <v>197.11712425868231</v>
      </c>
      <c r="K88" s="304">
        <v>271.76169108366855</v>
      </c>
      <c r="L88" s="617">
        <v>275.25628048906174</v>
      </c>
      <c r="M88" s="617">
        <v>351.71744872873825</v>
      </c>
      <c r="N88" s="617">
        <v>317.34303773433629</v>
      </c>
      <c r="O88" s="617">
        <v>282.96862673993428</v>
      </c>
      <c r="P88" s="617">
        <v>248.59421574553232</v>
      </c>
      <c r="Q88" s="617">
        <v>214.21980475113037</v>
      </c>
      <c r="R88" s="617">
        <v>179.84539375672841</v>
      </c>
      <c r="S88" s="617">
        <v>210.81455330707232</v>
      </c>
      <c r="T88" s="617">
        <v>241.78371285741622</v>
      </c>
      <c r="U88" s="617">
        <v>272.75287240776015</v>
      </c>
      <c r="V88" s="617">
        <v>303.72203195810403</v>
      </c>
      <c r="W88" s="617">
        <v>334.69119150844796</v>
      </c>
      <c r="X88" s="617">
        <v>350.57969835238032</v>
      </c>
      <c r="Y88" s="617">
        <v>366.46820519631268</v>
      </c>
      <c r="Z88" s="617">
        <v>382.35671204024504</v>
      </c>
      <c r="AA88" s="617">
        <v>398.2452188841774</v>
      </c>
      <c r="AB88" s="304">
        <v>414.13372572810977</v>
      </c>
      <c r="AC88" s="304">
        <v>0</v>
      </c>
      <c r="AD88" s="304">
        <v>0</v>
      </c>
      <c r="AE88" s="304">
        <v>0</v>
      </c>
      <c r="AF88" s="304">
        <v>0</v>
      </c>
      <c r="AG88" s="304">
        <v>0</v>
      </c>
      <c r="AH88" s="304">
        <v>0</v>
      </c>
      <c r="AI88" s="304">
        <v>0</v>
      </c>
      <c r="AJ88" s="304">
        <v>0</v>
      </c>
      <c r="AK88" s="304">
        <v>0</v>
      </c>
      <c r="AL88" s="304">
        <v>0</v>
      </c>
      <c r="AM88" s="304">
        <v>0</v>
      </c>
      <c r="AN88" s="304">
        <v>0</v>
      </c>
      <c r="AO88" s="304">
        <v>0</v>
      </c>
      <c r="AP88" s="163"/>
    </row>
    <row r="89" spans="1:42" x14ac:dyDescent="0.3">
      <c r="B89" s="6"/>
      <c r="C89" s="6"/>
      <c r="D89" s="6">
        <f t="shared" si="6"/>
        <v>2</v>
      </c>
      <c r="E89" s="638" t="str">
        <f t="shared" si="8"/>
        <v>Market Price Effects - Wholesale Capacity</v>
      </c>
      <c r="F89" s="303"/>
      <c r="G89" s="304"/>
      <c r="H89" s="304"/>
      <c r="I89" s="304">
        <v>0</v>
      </c>
      <c r="J89" s="304">
        <v>0</v>
      </c>
      <c r="K89" s="304">
        <v>0</v>
      </c>
      <c r="L89" s="617">
        <v>0</v>
      </c>
      <c r="M89" s="617">
        <v>0</v>
      </c>
      <c r="N89" s="617">
        <v>0</v>
      </c>
      <c r="O89" s="617">
        <v>0</v>
      </c>
      <c r="P89" s="617">
        <v>0</v>
      </c>
      <c r="Q89" s="617">
        <v>0</v>
      </c>
      <c r="R89" s="617">
        <v>0</v>
      </c>
      <c r="S89" s="617">
        <v>0</v>
      </c>
      <c r="T89" s="617">
        <v>0</v>
      </c>
      <c r="U89" s="617">
        <v>0</v>
      </c>
      <c r="V89" s="617">
        <v>0</v>
      </c>
      <c r="W89" s="617">
        <v>0</v>
      </c>
      <c r="X89" s="617">
        <v>0</v>
      </c>
      <c r="Y89" s="617">
        <v>0</v>
      </c>
      <c r="Z89" s="617">
        <v>0</v>
      </c>
      <c r="AA89" s="617">
        <v>0</v>
      </c>
      <c r="AB89" s="304">
        <v>0</v>
      </c>
      <c r="AC89" s="304">
        <v>0</v>
      </c>
      <c r="AD89" s="304">
        <v>0</v>
      </c>
      <c r="AE89" s="304">
        <v>0</v>
      </c>
      <c r="AF89" s="304">
        <v>0</v>
      </c>
      <c r="AG89" s="304">
        <v>0</v>
      </c>
      <c r="AH89" s="304">
        <v>0</v>
      </c>
      <c r="AI89" s="304">
        <v>0</v>
      </c>
      <c r="AJ89" s="304">
        <v>0</v>
      </c>
      <c r="AK89" s="304">
        <v>0</v>
      </c>
      <c r="AL89" s="304">
        <v>0</v>
      </c>
      <c r="AM89" s="304">
        <v>0</v>
      </c>
      <c r="AN89" s="304">
        <v>0</v>
      </c>
      <c r="AO89" s="304">
        <v>0</v>
      </c>
      <c r="AP89" s="163"/>
    </row>
    <row r="90" spans="1:42" x14ac:dyDescent="0.3">
      <c r="B90" s="6"/>
      <c r="C90" s="6"/>
      <c r="D90" s="6">
        <f t="shared" si="6"/>
        <v>2</v>
      </c>
      <c r="E90" s="639" t="str">
        <f t="shared" si="8"/>
        <v>Avoided Cost of Participant Backup Generator</v>
      </c>
      <c r="F90" s="303"/>
      <c r="G90" s="305"/>
      <c r="H90" s="304"/>
      <c r="I90" s="303">
        <f>Inputs!BV11*Inputs!T11*1000</f>
        <v>10000</v>
      </c>
      <c r="J90" s="303">
        <v>0</v>
      </c>
      <c r="K90" s="303">
        <v>0</v>
      </c>
      <c r="L90" s="303">
        <v>0</v>
      </c>
      <c r="M90" s="303">
        <v>0</v>
      </c>
      <c r="N90" s="303">
        <v>0</v>
      </c>
      <c r="O90" s="303">
        <v>0</v>
      </c>
      <c r="P90" s="303">
        <v>0</v>
      </c>
      <c r="Q90" s="303">
        <v>0</v>
      </c>
      <c r="R90" s="303">
        <v>0</v>
      </c>
      <c r="S90" s="303">
        <v>0</v>
      </c>
      <c r="T90" s="303">
        <v>0</v>
      </c>
      <c r="U90" s="303">
        <v>0</v>
      </c>
      <c r="V90" s="303">
        <v>0</v>
      </c>
      <c r="W90" s="303">
        <v>0</v>
      </c>
      <c r="X90" s="303">
        <v>0</v>
      </c>
      <c r="Y90" s="303">
        <v>0</v>
      </c>
      <c r="Z90" s="303">
        <v>0</v>
      </c>
      <c r="AA90" s="303">
        <v>0</v>
      </c>
      <c r="AB90" s="303">
        <v>0</v>
      </c>
      <c r="AC90" s="303" cm="1">
        <f t="array" ref="AC90">IF(AC$31=Inputs!$E$5,INDEX(Inputs!$BV$10:$BV$25,$D90)*INDEX(StdConfigDesc,$D90,$L$29)*1000,0)</f>
        <v>0</v>
      </c>
      <c r="AD90" s="303" cm="1">
        <f t="array" ref="AD90">IF(AD$31=Inputs!$E$5,INDEX(Inputs!$BV$10:$BV$25,$D90)*INDEX(StdConfigDesc,$D90,$L$29)*1000,0)</f>
        <v>0</v>
      </c>
      <c r="AE90" s="303" cm="1">
        <f t="array" ref="AE90">IF(AE$31=Inputs!$E$5,INDEX(Inputs!$BV$10:$BV$25,$D90)*INDEX(StdConfigDesc,$D90,$L$29)*1000,0)</f>
        <v>0</v>
      </c>
      <c r="AF90" s="303" cm="1">
        <f t="array" ref="AF90">IF(AF$31=Inputs!$E$5,INDEX(Inputs!$BV$10:$BV$25,$D90)*INDEX(StdConfigDesc,$D90,$L$29)*1000,0)</f>
        <v>0</v>
      </c>
      <c r="AG90" s="303" cm="1">
        <f t="array" ref="AG90">IF(AG$31=Inputs!$E$5,INDEX(Inputs!$BV$10:$BV$25,$D90)*INDEX(StdConfigDesc,$D90,$L$29)*1000,0)</f>
        <v>0</v>
      </c>
      <c r="AH90" s="303" cm="1">
        <f t="array" ref="AH90">IF(AH$31=Inputs!$E$5,INDEX(Inputs!$BV$10:$BV$25,$D90)*INDEX(StdConfigDesc,$D90,$L$29)*1000,0)</f>
        <v>0</v>
      </c>
      <c r="AI90" s="303" cm="1">
        <f t="array" ref="AI90">IF(AI$31=Inputs!$E$5,INDEX(Inputs!$BV$10:$BV$25,$D90)*INDEX(StdConfigDesc,$D90,$L$29)*1000,0)</f>
        <v>0</v>
      </c>
      <c r="AJ90" s="303" cm="1">
        <f t="array" ref="AJ90">IF(AJ$31=Inputs!$E$5,INDEX(Inputs!$BV$10:$BV$25,$D90)*INDEX(StdConfigDesc,$D90,$L$29)*1000,0)</f>
        <v>0</v>
      </c>
      <c r="AK90" s="303" cm="1">
        <f t="array" ref="AK90">IF(AK$31=Inputs!$E$5,INDEX(Inputs!$BV$10:$BV$25,$D90)*INDEX(StdConfigDesc,$D90,$L$29)*1000,0)</f>
        <v>0</v>
      </c>
      <c r="AL90" s="303" cm="1">
        <f t="array" ref="AL90">IF(AL$31=Inputs!$E$5,INDEX(Inputs!$BV$10:$BV$25,$D90)*INDEX(StdConfigDesc,$D90,$L$29)*1000,0)</f>
        <v>0</v>
      </c>
      <c r="AM90" s="303" cm="1">
        <f t="array" ref="AM90">IF(AM$31=Inputs!$E$5,INDEX(Inputs!$BV$10:$BV$25,$D90)*INDEX(StdConfigDesc,$D90,$L$29)*1000,0)</f>
        <v>0</v>
      </c>
      <c r="AN90" s="303" cm="1">
        <f t="array" ref="AN90">IF(AN$31=Inputs!$E$5,INDEX(Inputs!$BV$10:$BV$25,$D90)*INDEX(StdConfigDesc,$D90,$L$29)*1000,0)</f>
        <v>0</v>
      </c>
      <c r="AO90" s="303" cm="1">
        <f t="array" ref="AO90">IF(AO$31=Inputs!$E$5,INDEX(Inputs!$BV$10:$BV$25,$D90)*INDEX(StdConfigDesc,$D90,$L$29)*1000,0)</f>
        <v>0</v>
      </c>
      <c r="AP90" s="163"/>
    </row>
    <row r="91" spans="1:42" x14ac:dyDescent="0.3">
      <c r="B91" s="6"/>
      <c r="C91" s="6"/>
      <c r="D91" s="6">
        <f t="shared" si="6"/>
        <v>2</v>
      </c>
      <c r="E91" s="640" t="str">
        <f t="shared" ref="E91:E108" si="9">E51</f>
        <v>Full Eq DoD Cycle</v>
      </c>
      <c r="F91" s="303"/>
      <c r="G91" s="314"/>
      <c r="H91" s="313"/>
      <c r="I91" s="308">
        <v>364.99999999999994</v>
      </c>
      <c r="J91" s="308">
        <v>364.99999999999994</v>
      </c>
      <c r="K91" s="308">
        <v>364.99999999999994</v>
      </c>
      <c r="L91" s="618">
        <v>365</v>
      </c>
      <c r="M91" s="618">
        <v>364.99999999999994</v>
      </c>
      <c r="N91" s="618">
        <v>364.99999999999994</v>
      </c>
      <c r="O91" s="618">
        <v>364.99999999999994</v>
      </c>
      <c r="P91" s="618">
        <v>364.99999999999994</v>
      </c>
      <c r="Q91" s="618">
        <v>364.99999999999994</v>
      </c>
      <c r="R91" s="618">
        <v>364.99999999999994</v>
      </c>
      <c r="S91" s="618">
        <v>364.99999999999994</v>
      </c>
      <c r="T91" s="618">
        <v>364.99999999999994</v>
      </c>
      <c r="U91" s="618">
        <v>364.99999999999994</v>
      </c>
      <c r="V91" s="618">
        <v>364.99999999999994</v>
      </c>
      <c r="W91" s="618">
        <v>365</v>
      </c>
      <c r="X91" s="618">
        <v>365</v>
      </c>
      <c r="Y91" s="618">
        <v>365</v>
      </c>
      <c r="Z91" s="618">
        <v>365</v>
      </c>
      <c r="AA91" s="618">
        <v>365</v>
      </c>
      <c r="AB91" s="308">
        <v>364.99999999999994</v>
      </c>
      <c r="AC91" s="309"/>
      <c r="AD91" s="309"/>
      <c r="AE91" s="309"/>
      <c r="AF91" s="309"/>
      <c r="AG91" s="309"/>
      <c r="AH91" s="309"/>
      <c r="AI91" s="309"/>
      <c r="AJ91" s="309"/>
      <c r="AK91" s="309"/>
      <c r="AL91" s="309"/>
      <c r="AM91" s="309"/>
      <c r="AN91" s="309"/>
      <c r="AO91" s="309"/>
      <c r="AP91" s="163"/>
    </row>
    <row r="92" spans="1:42" s="505" customFormat="1" x14ac:dyDescent="0.3">
      <c r="A92"/>
      <c r="B92" s="6"/>
      <c r="C92" s="6"/>
      <c r="D92" s="6">
        <f t="shared" si="6"/>
        <v>2</v>
      </c>
      <c r="E92" s="640" t="str">
        <f t="shared" si="9"/>
        <v>Export MWh</v>
      </c>
      <c r="F92" s="303"/>
      <c r="G92" s="314"/>
      <c r="H92" s="311"/>
      <c r="I92" s="308">
        <v>31.26</v>
      </c>
      <c r="J92" s="308">
        <v>30.992999999999999</v>
      </c>
      <c r="K92" s="308">
        <v>30.524999999999999</v>
      </c>
      <c r="L92" s="618">
        <v>30.414000000000001</v>
      </c>
      <c r="M92" s="618">
        <v>30.335000000000001</v>
      </c>
      <c r="N92" s="618">
        <v>30.298999999999999</v>
      </c>
      <c r="O92" s="618">
        <v>30.262999999999998</v>
      </c>
      <c r="P92" s="618">
        <v>30.226999999999997</v>
      </c>
      <c r="Q92" s="618">
        <v>30.190999999999995</v>
      </c>
      <c r="R92" s="618">
        <v>30.155000000000001</v>
      </c>
      <c r="S92" s="618">
        <v>30.0702</v>
      </c>
      <c r="T92" s="618">
        <v>29.985399999999998</v>
      </c>
      <c r="U92" s="618">
        <v>29.900599999999997</v>
      </c>
      <c r="V92" s="618">
        <v>29.815799999999996</v>
      </c>
      <c r="W92" s="618">
        <v>29.731000000000002</v>
      </c>
      <c r="X92" s="618">
        <v>29.717400000000001</v>
      </c>
      <c r="Y92" s="618">
        <v>29.703800000000001</v>
      </c>
      <c r="Z92" s="618">
        <v>29.690200000000001</v>
      </c>
      <c r="AA92" s="618">
        <v>29.676600000000001</v>
      </c>
      <c r="AB92" s="308">
        <v>29.663</v>
      </c>
      <c r="AC92" s="309"/>
      <c r="AD92" s="309"/>
      <c r="AE92" s="309"/>
      <c r="AF92" s="309"/>
      <c r="AG92" s="309"/>
      <c r="AH92" s="309"/>
      <c r="AI92" s="309"/>
      <c r="AJ92" s="309"/>
      <c r="AK92" s="309"/>
      <c r="AL92" s="309"/>
      <c r="AM92" s="309"/>
      <c r="AN92" s="309"/>
      <c r="AO92" s="309"/>
      <c r="AP92" s="645"/>
    </row>
    <row r="93" spans="1:42" x14ac:dyDescent="0.3">
      <c r="B93" s="6"/>
      <c r="C93" s="6"/>
      <c r="D93" s="6">
        <f t="shared" si="6"/>
        <v>2</v>
      </c>
      <c r="E93" s="640" t="str">
        <f t="shared" si="9"/>
        <v>Charge MWh</v>
      </c>
      <c r="F93" s="303"/>
      <c r="G93" s="314"/>
      <c r="H93" s="303"/>
      <c r="I93" s="311"/>
      <c r="J93" s="311"/>
      <c r="K93" s="311"/>
      <c r="L93" s="619"/>
      <c r="M93" s="619"/>
      <c r="N93" s="619"/>
      <c r="O93" s="619"/>
      <c r="P93" s="619"/>
      <c r="Q93" s="619"/>
      <c r="R93" s="619"/>
      <c r="S93" s="619"/>
      <c r="T93" s="619"/>
      <c r="U93" s="619"/>
      <c r="V93" s="619"/>
      <c r="W93" s="619"/>
      <c r="X93" s="619"/>
      <c r="Y93" s="619"/>
      <c r="Z93" s="619"/>
      <c r="AA93" s="619"/>
      <c r="AB93" s="311"/>
      <c r="AC93" s="313"/>
      <c r="AD93" s="313"/>
      <c r="AE93" s="313"/>
      <c r="AF93" s="313"/>
      <c r="AG93" s="313"/>
      <c r="AH93" s="313"/>
      <c r="AI93" s="313"/>
      <c r="AJ93" s="313"/>
      <c r="AK93" s="313"/>
      <c r="AL93" s="313"/>
      <c r="AM93" s="313"/>
      <c r="AN93" s="313"/>
      <c r="AO93" s="313"/>
      <c r="AP93" s="163"/>
    </row>
    <row r="94" spans="1:42" x14ac:dyDescent="0.3">
      <c r="B94" s="6"/>
      <c r="C94" s="6"/>
      <c r="D94" s="6">
        <f t="shared" si="6"/>
        <v>2</v>
      </c>
      <c r="E94" s="641" t="str">
        <f t="shared" si="9"/>
        <v>Total ESS Charge MWh</v>
      </c>
      <c r="F94" s="303"/>
      <c r="G94" s="314"/>
      <c r="H94" s="311"/>
      <c r="I94" s="308">
        <v>21.422341847862572</v>
      </c>
      <c r="J94" s="308">
        <v>21.422341847862583</v>
      </c>
      <c r="K94" s="308">
        <v>21.422341847862572</v>
      </c>
      <c r="L94" s="618">
        <v>21.422341847862583</v>
      </c>
      <c r="M94" s="618">
        <v>21.422341847862583</v>
      </c>
      <c r="N94" s="618">
        <v>21.422341847862583</v>
      </c>
      <c r="O94" s="618">
        <v>21.422341847862583</v>
      </c>
      <c r="P94" s="618">
        <v>21.422341847862583</v>
      </c>
      <c r="Q94" s="618">
        <v>21.42234184786259</v>
      </c>
      <c r="R94" s="618">
        <v>21.42234184786259</v>
      </c>
      <c r="S94" s="618">
        <v>21.42234184786259</v>
      </c>
      <c r="T94" s="618">
        <v>21.42234184786259</v>
      </c>
      <c r="U94" s="618">
        <v>21.42234184786259</v>
      </c>
      <c r="V94" s="618">
        <v>21.42234184786258</v>
      </c>
      <c r="W94" s="618">
        <v>21.42234184786258</v>
      </c>
      <c r="X94" s="618">
        <v>21.42234184786258</v>
      </c>
      <c r="Y94" s="618">
        <v>21.42234184786258</v>
      </c>
      <c r="Z94" s="618">
        <v>21.42234184786258</v>
      </c>
      <c r="AA94" s="618">
        <v>21.422341847862576</v>
      </c>
      <c r="AB94" s="308">
        <v>21.422341847862576</v>
      </c>
      <c r="AC94" s="309"/>
      <c r="AD94" s="309"/>
      <c r="AE94" s="309"/>
      <c r="AF94" s="309"/>
      <c r="AG94" s="309"/>
      <c r="AH94" s="309"/>
      <c r="AI94" s="309"/>
      <c r="AJ94" s="309"/>
      <c r="AK94" s="309"/>
      <c r="AL94" s="309"/>
      <c r="AM94" s="309"/>
      <c r="AN94" s="309"/>
      <c r="AO94" s="309"/>
      <c r="AP94" s="163"/>
    </row>
    <row r="95" spans="1:42" x14ac:dyDescent="0.3">
      <c r="B95" s="6"/>
      <c r="C95" s="6"/>
      <c r="D95" s="6">
        <f t="shared" si="6"/>
        <v>2</v>
      </c>
      <c r="E95" s="642" t="str">
        <f t="shared" si="9"/>
        <v>Avg Generation Capacity</v>
      </c>
      <c r="F95" s="303"/>
      <c r="G95" s="314"/>
      <c r="H95" s="311"/>
      <c r="I95" s="308">
        <v>0</v>
      </c>
      <c r="J95" s="308">
        <v>0</v>
      </c>
      <c r="K95" s="308">
        <v>0</v>
      </c>
      <c r="L95" s="308">
        <v>0</v>
      </c>
      <c r="M95" s="308">
        <v>0</v>
      </c>
      <c r="N95" s="308">
        <v>0</v>
      </c>
      <c r="O95" s="308">
        <v>0</v>
      </c>
      <c r="P95" s="308">
        <v>0</v>
      </c>
      <c r="Q95" s="308">
        <v>0</v>
      </c>
      <c r="R95" s="308">
        <v>0</v>
      </c>
      <c r="S95" s="308">
        <v>0</v>
      </c>
      <c r="T95" s="308">
        <v>0</v>
      </c>
      <c r="U95" s="308">
        <v>0</v>
      </c>
      <c r="V95" s="308">
        <v>0</v>
      </c>
      <c r="W95" s="308">
        <v>0</v>
      </c>
      <c r="X95" s="308">
        <v>0</v>
      </c>
      <c r="Y95" s="308">
        <v>0</v>
      </c>
      <c r="Z95" s="308">
        <v>0</v>
      </c>
      <c r="AA95" s="308">
        <v>0</v>
      </c>
      <c r="AB95" s="308">
        <v>0</v>
      </c>
      <c r="AC95" s="309"/>
      <c r="AD95" s="309"/>
      <c r="AE95" s="309"/>
      <c r="AF95" s="309"/>
      <c r="AG95" s="309"/>
      <c r="AH95" s="309"/>
      <c r="AI95" s="309"/>
      <c r="AJ95" s="309"/>
      <c r="AK95" s="309"/>
      <c r="AL95" s="309"/>
      <c r="AM95" s="309"/>
      <c r="AN95" s="309"/>
      <c r="AO95" s="309"/>
      <c r="AP95" s="163"/>
    </row>
    <row r="96" spans="1:42" x14ac:dyDescent="0.3">
      <c r="B96" s="6"/>
      <c r="C96" s="6"/>
      <c r="D96" s="6">
        <f t="shared" si="6"/>
        <v>2</v>
      </c>
      <c r="E96" s="642" t="str">
        <f t="shared" si="9"/>
        <v>Avg Transmission Capacity</v>
      </c>
      <c r="F96" s="303"/>
      <c r="G96" s="314"/>
      <c r="H96" s="311"/>
      <c r="I96" s="308">
        <v>0</v>
      </c>
      <c r="J96" s="308">
        <v>0</v>
      </c>
      <c r="K96" s="308">
        <v>0</v>
      </c>
      <c r="L96" s="308">
        <v>0</v>
      </c>
      <c r="M96" s="308">
        <v>0</v>
      </c>
      <c r="N96" s="308">
        <v>0</v>
      </c>
      <c r="O96" s="308">
        <v>0</v>
      </c>
      <c r="P96" s="308">
        <v>0</v>
      </c>
      <c r="Q96" s="308">
        <v>0</v>
      </c>
      <c r="R96" s="308">
        <v>0</v>
      </c>
      <c r="S96" s="308">
        <v>0</v>
      </c>
      <c r="T96" s="308">
        <v>0</v>
      </c>
      <c r="U96" s="308">
        <v>0</v>
      </c>
      <c r="V96" s="308">
        <v>0</v>
      </c>
      <c r="W96" s="308">
        <v>0</v>
      </c>
      <c r="X96" s="308">
        <v>0</v>
      </c>
      <c r="Y96" s="308">
        <v>0</v>
      </c>
      <c r="Z96" s="308">
        <v>0</v>
      </c>
      <c r="AA96" s="308">
        <v>0</v>
      </c>
      <c r="AB96" s="308">
        <v>0</v>
      </c>
      <c r="AC96" s="309"/>
      <c r="AD96" s="309"/>
      <c r="AE96" s="309"/>
      <c r="AF96" s="309"/>
      <c r="AG96" s="309"/>
      <c r="AH96" s="309"/>
      <c r="AI96" s="309"/>
      <c r="AJ96" s="309"/>
      <c r="AK96" s="309"/>
      <c r="AL96" s="309"/>
      <c r="AM96" s="309"/>
      <c r="AN96" s="309"/>
      <c r="AO96" s="309"/>
      <c r="AP96" s="163"/>
    </row>
    <row r="97" spans="1:42" x14ac:dyDescent="0.3">
      <c r="B97" s="6"/>
      <c r="C97" s="6"/>
      <c r="D97" s="6">
        <f t="shared" si="6"/>
        <v>2</v>
      </c>
      <c r="E97" s="642" t="str">
        <f t="shared" si="9"/>
        <v>Avg Distribution Capacity</v>
      </c>
      <c r="F97" s="303"/>
      <c r="G97" s="314"/>
      <c r="H97" s="311"/>
      <c r="I97" s="308">
        <v>0</v>
      </c>
      <c r="J97" s="308">
        <v>0</v>
      </c>
      <c r="K97" s="308">
        <v>0</v>
      </c>
      <c r="L97" s="618">
        <v>0</v>
      </c>
      <c r="M97" s="618">
        <v>0</v>
      </c>
      <c r="N97" s="618">
        <v>0</v>
      </c>
      <c r="O97" s="618">
        <v>0</v>
      </c>
      <c r="P97" s="618">
        <v>0</v>
      </c>
      <c r="Q97" s="618">
        <v>0</v>
      </c>
      <c r="R97" s="618">
        <v>0</v>
      </c>
      <c r="S97" s="618">
        <v>0</v>
      </c>
      <c r="T97" s="618">
        <v>0</v>
      </c>
      <c r="U97" s="618">
        <v>0</v>
      </c>
      <c r="V97" s="618">
        <v>0</v>
      </c>
      <c r="W97" s="618">
        <v>0</v>
      </c>
      <c r="X97" s="618">
        <v>0</v>
      </c>
      <c r="Y97" s="618">
        <v>0</v>
      </c>
      <c r="Z97" s="618">
        <v>0</v>
      </c>
      <c r="AA97" s="618">
        <v>0</v>
      </c>
      <c r="AB97" s="308">
        <v>2.2056214932152849E-2</v>
      </c>
      <c r="AC97" s="309"/>
      <c r="AD97" s="309"/>
      <c r="AE97" s="309"/>
      <c r="AF97" s="309"/>
      <c r="AG97" s="309"/>
      <c r="AH97" s="309"/>
      <c r="AI97" s="309"/>
      <c r="AJ97" s="309"/>
      <c r="AK97" s="309"/>
      <c r="AL97" s="309"/>
      <c r="AM97" s="309"/>
      <c r="AN97" s="309"/>
      <c r="AO97" s="309"/>
      <c r="AP97" s="163"/>
    </row>
    <row r="98" spans="1:42" s="505" customFormat="1" x14ac:dyDescent="0.3">
      <c r="A98"/>
      <c r="B98" s="6"/>
      <c r="C98" s="6"/>
      <c r="D98" s="6">
        <f t="shared" si="6"/>
        <v>2</v>
      </c>
      <c r="E98" s="642" t="str">
        <f t="shared" si="9"/>
        <v>GHG Impacts</v>
      </c>
      <c r="F98" s="303"/>
      <c r="G98" s="314"/>
      <c r="H98" s="311"/>
      <c r="I98" s="308">
        <v>21.397341847862432</v>
      </c>
      <c r="J98" s="308">
        <v>21.22528563293028</v>
      </c>
      <c r="K98" s="308">
        <v>20.737060773201666</v>
      </c>
      <c r="L98" s="618">
        <v>19.922000000000001</v>
      </c>
      <c r="M98" s="618">
        <v>18.396000000000001</v>
      </c>
      <c r="N98" s="618">
        <v>17.128128876189198</v>
      </c>
      <c r="O98" s="618">
        <v>15.860257752378393</v>
      </c>
      <c r="P98" s="618">
        <v>14.592386628567589</v>
      </c>
      <c r="Q98" s="618">
        <v>13.324515504756784</v>
      </c>
      <c r="R98" s="618">
        <v>12.056644380945979</v>
      </c>
      <c r="S98" s="618">
        <v>11.421315504756784</v>
      </c>
      <c r="T98" s="618">
        <v>10.785986628567588</v>
      </c>
      <c r="U98" s="618">
        <v>10.150657752378393</v>
      </c>
      <c r="V98" s="618">
        <v>9.5153288761891979</v>
      </c>
      <c r="W98" s="618">
        <v>8.8800000000000008</v>
      </c>
      <c r="X98" s="618">
        <v>8.4768562109860071</v>
      </c>
      <c r="Y98" s="618">
        <v>8.0737124219720133</v>
      </c>
      <c r="Z98" s="618">
        <v>7.6705686329580196</v>
      </c>
      <c r="AA98" s="618">
        <v>7.2674248439440259</v>
      </c>
      <c r="AB98" s="308">
        <v>6.8642810549300304</v>
      </c>
      <c r="AC98" s="309"/>
      <c r="AD98" s="309"/>
      <c r="AE98" s="309"/>
      <c r="AF98" s="309"/>
      <c r="AG98" s="309"/>
      <c r="AH98" s="309"/>
      <c r="AI98" s="309"/>
      <c r="AJ98" s="309"/>
      <c r="AK98" s="309"/>
      <c r="AL98" s="309"/>
      <c r="AM98" s="309"/>
      <c r="AN98" s="309"/>
      <c r="AO98" s="309"/>
      <c r="AP98" s="645"/>
    </row>
    <row r="99" spans="1:42" s="505" customFormat="1" x14ac:dyDescent="0.3">
      <c r="A99"/>
      <c r="B99" s="6"/>
      <c r="C99" s="6"/>
      <c r="D99" s="6">
        <f t="shared" si="6"/>
        <v>2</v>
      </c>
      <c r="E99" s="642" t="str">
        <f t="shared" si="9"/>
        <v>Market Price Effects - Wholesale Energy</v>
      </c>
      <c r="F99" s="303"/>
      <c r="G99" s="313"/>
      <c r="H99" s="311"/>
      <c r="I99" s="308">
        <v>21.42234184786243</v>
      </c>
      <c r="J99" s="308">
        <v>21.42234184786243</v>
      </c>
      <c r="K99" s="308">
        <v>21.42234184786243</v>
      </c>
      <c r="L99" s="618">
        <v>21.422000000000001</v>
      </c>
      <c r="M99" s="618">
        <v>21.422000000000001</v>
      </c>
      <c r="N99" s="618">
        <v>21.422068369572486</v>
      </c>
      <c r="O99" s="618">
        <v>21.422136739144971</v>
      </c>
      <c r="P99" s="618">
        <v>21.422205108717456</v>
      </c>
      <c r="Q99" s="618">
        <v>21.422273478289942</v>
      </c>
      <c r="R99" s="618">
        <v>21.42234184786243</v>
      </c>
      <c r="S99" s="618">
        <v>21.421873478289946</v>
      </c>
      <c r="T99" s="618">
        <v>21.421405108717462</v>
      </c>
      <c r="U99" s="618">
        <v>21.420936739144977</v>
      </c>
      <c r="V99" s="618">
        <v>21.420468369572493</v>
      </c>
      <c r="W99" s="618">
        <v>21.42</v>
      </c>
      <c r="X99" s="618">
        <v>21.420468369572486</v>
      </c>
      <c r="Y99" s="618">
        <v>21.42093673914497</v>
      </c>
      <c r="Z99" s="618">
        <v>21.421405108717455</v>
      </c>
      <c r="AA99" s="618">
        <v>21.421873478289939</v>
      </c>
      <c r="AB99" s="308">
        <v>21.422341847862423</v>
      </c>
      <c r="AC99" s="309"/>
      <c r="AD99" s="309"/>
      <c r="AE99" s="309"/>
      <c r="AF99" s="309"/>
      <c r="AG99" s="309"/>
      <c r="AH99" s="309"/>
      <c r="AI99" s="309"/>
      <c r="AJ99" s="309"/>
      <c r="AK99" s="309"/>
      <c r="AL99" s="309"/>
      <c r="AM99" s="309"/>
      <c r="AN99" s="309"/>
      <c r="AO99" s="309"/>
      <c r="AP99" s="645"/>
    </row>
    <row r="100" spans="1:42" x14ac:dyDescent="0.3">
      <c r="B100" s="6"/>
      <c r="C100" s="6"/>
      <c r="D100" s="6">
        <f t="shared" si="6"/>
        <v>2</v>
      </c>
      <c r="E100" s="643" t="str">
        <f t="shared" si="9"/>
        <v>Market Price Effects - Wholesale Capacity</v>
      </c>
      <c r="F100" s="303"/>
      <c r="G100" s="314"/>
      <c r="I100" s="308">
        <v>0</v>
      </c>
      <c r="J100" s="308">
        <v>0</v>
      </c>
      <c r="K100" s="308">
        <v>0</v>
      </c>
      <c r="L100" s="618">
        <v>0</v>
      </c>
      <c r="M100" s="618">
        <v>0</v>
      </c>
      <c r="N100" s="618">
        <v>0</v>
      </c>
      <c r="O100" s="618">
        <v>0</v>
      </c>
      <c r="P100" s="618">
        <v>0</v>
      </c>
      <c r="Q100" s="618">
        <v>0</v>
      </c>
      <c r="R100" s="618">
        <v>0</v>
      </c>
      <c r="S100" s="618">
        <v>0</v>
      </c>
      <c r="T100" s="618">
        <v>0</v>
      </c>
      <c r="U100" s="618">
        <v>0</v>
      </c>
      <c r="V100" s="618">
        <v>0</v>
      </c>
      <c r="W100" s="618">
        <v>0</v>
      </c>
      <c r="X100" s="618">
        <v>0</v>
      </c>
      <c r="Y100" s="618">
        <v>0</v>
      </c>
      <c r="Z100" s="618">
        <v>0</v>
      </c>
      <c r="AA100" s="618">
        <v>0</v>
      </c>
      <c r="AB100" s="308">
        <v>0</v>
      </c>
      <c r="AC100" s="309"/>
      <c r="AD100" s="309"/>
      <c r="AE100" s="309"/>
      <c r="AF100" s="309"/>
      <c r="AG100" s="309"/>
      <c r="AH100" s="309"/>
      <c r="AI100" s="309"/>
      <c r="AJ100" s="309"/>
      <c r="AK100" s="309"/>
      <c r="AL100" s="309"/>
      <c r="AM100" s="309"/>
      <c r="AN100" s="309"/>
      <c r="AO100" s="309"/>
      <c r="AP100" s="163"/>
    </row>
    <row r="101" spans="1:42" x14ac:dyDescent="0.3">
      <c r="B101" s="6"/>
      <c r="C101" s="6"/>
      <c r="D101" s="6">
        <f t="shared" si="6"/>
        <v>2</v>
      </c>
      <c r="E101" s="640" t="str">
        <f t="shared" si="9"/>
        <v>Disharge MWh</v>
      </c>
      <c r="G101" s="15"/>
      <c r="I101" s="505"/>
      <c r="J101" s="505"/>
      <c r="K101" s="505"/>
      <c r="L101" s="505"/>
      <c r="M101" s="505"/>
      <c r="N101" s="505"/>
      <c r="O101" s="505"/>
      <c r="P101" s="505"/>
      <c r="Q101" s="505"/>
      <c r="R101" s="505"/>
      <c r="S101" s="505"/>
      <c r="T101" s="505"/>
      <c r="U101" s="505"/>
      <c r="V101" s="505"/>
      <c r="W101" s="505"/>
      <c r="X101" s="505"/>
      <c r="Y101" s="505"/>
      <c r="Z101" s="505"/>
      <c r="AA101" s="505"/>
      <c r="AB101" s="505"/>
      <c r="AC101" s="15"/>
      <c r="AD101" s="15"/>
      <c r="AE101" s="15"/>
      <c r="AF101" s="15"/>
      <c r="AG101" s="15"/>
      <c r="AH101" s="15"/>
      <c r="AI101" s="15"/>
      <c r="AJ101" s="15"/>
      <c r="AK101" s="15"/>
      <c r="AL101" s="15"/>
      <c r="AM101" s="15"/>
      <c r="AN101" s="15"/>
      <c r="AO101" s="15"/>
      <c r="AP101" s="163"/>
    </row>
    <row r="102" spans="1:42" x14ac:dyDescent="0.3">
      <c r="B102" s="6"/>
      <c r="C102" s="6"/>
      <c r="D102" s="6">
        <f t="shared" si="6"/>
        <v>2</v>
      </c>
      <c r="E102" s="641" t="str">
        <f t="shared" si="9"/>
        <v>Total ESS DCharge MWh</v>
      </c>
      <c r="G102" s="15"/>
      <c r="H102" s="312"/>
      <c r="I102" s="308">
        <v>18.249999999999993</v>
      </c>
      <c r="J102" s="308">
        <v>18.250000000000004</v>
      </c>
      <c r="K102" s="308">
        <v>18.249999999999993</v>
      </c>
      <c r="L102" s="618">
        <v>18.250000000000007</v>
      </c>
      <c r="M102" s="618">
        <v>18.250000000000007</v>
      </c>
      <c r="N102" s="618">
        <v>18.250000000000007</v>
      </c>
      <c r="O102" s="618">
        <v>18.250000000000007</v>
      </c>
      <c r="P102" s="618">
        <v>18.250000000000007</v>
      </c>
      <c r="Q102" s="618">
        <v>18.250000000000004</v>
      </c>
      <c r="R102" s="618">
        <v>18.250000000000004</v>
      </c>
      <c r="S102" s="618">
        <v>18.250000000000004</v>
      </c>
      <c r="T102" s="618">
        <v>18.250000000000004</v>
      </c>
      <c r="U102" s="618">
        <v>18.250000000000004</v>
      </c>
      <c r="V102" s="618">
        <v>18.25</v>
      </c>
      <c r="W102" s="618">
        <v>18.25</v>
      </c>
      <c r="X102" s="618">
        <v>18.25</v>
      </c>
      <c r="Y102" s="618">
        <v>18.25</v>
      </c>
      <c r="Z102" s="618">
        <v>18.25</v>
      </c>
      <c r="AA102" s="618">
        <v>18.25</v>
      </c>
      <c r="AB102" s="308">
        <v>18.25</v>
      </c>
      <c r="AC102" s="309"/>
      <c r="AD102" s="309"/>
      <c r="AE102" s="309"/>
      <c r="AF102" s="309"/>
      <c r="AG102" s="309"/>
      <c r="AH102" s="309"/>
      <c r="AI102" s="309"/>
      <c r="AJ102" s="309"/>
      <c r="AK102" s="309"/>
      <c r="AL102" s="309"/>
      <c r="AM102" s="309"/>
      <c r="AN102" s="309"/>
      <c r="AO102" s="309"/>
      <c r="AP102" s="163"/>
    </row>
    <row r="103" spans="1:42" s="505" customFormat="1" x14ac:dyDescent="0.3">
      <c r="A103"/>
      <c r="B103" s="6"/>
      <c r="C103" s="6"/>
      <c r="D103" s="6">
        <f t="shared" si="6"/>
        <v>2</v>
      </c>
      <c r="E103" s="642" t="str">
        <f t="shared" si="9"/>
        <v>Avg Generation Capacity</v>
      </c>
      <c r="F103" s="303"/>
      <c r="G103" s="15"/>
      <c r="H103" s="312"/>
      <c r="I103" s="308">
        <v>1.6</v>
      </c>
      <c r="J103" s="308">
        <v>1.6</v>
      </c>
      <c r="K103" s="308">
        <v>1.6</v>
      </c>
      <c r="L103" s="618">
        <v>1.6</v>
      </c>
      <c r="M103" s="618">
        <v>1.6</v>
      </c>
      <c r="N103" s="618">
        <v>1.6</v>
      </c>
      <c r="O103" s="618">
        <v>1.6</v>
      </c>
      <c r="P103" s="618">
        <v>1.6</v>
      </c>
      <c r="Q103" s="618">
        <v>1.6</v>
      </c>
      <c r="R103" s="618">
        <v>1.6</v>
      </c>
      <c r="S103" s="618">
        <v>1.6</v>
      </c>
      <c r="T103" s="618">
        <v>1.6</v>
      </c>
      <c r="U103" s="618">
        <v>1.6</v>
      </c>
      <c r="V103" s="618">
        <v>1.6</v>
      </c>
      <c r="W103" s="618">
        <v>1.6</v>
      </c>
      <c r="X103" s="618">
        <v>1.6</v>
      </c>
      <c r="Y103" s="618">
        <v>1.6</v>
      </c>
      <c r="Z103" s="618">
        <v>1.6</v>
      </c>
      <c r="AA103" s="618">
        <v>1.6</v>
      </c>
      <c r="AB103" s="308">
        <v>1.6</v>
      </c>
      <c r="AC103" s="309"/>
      <c r="AD103" s="309"/>
      <c r="AE103" s="309"/>
      <c r="AF103" s="309"/>
      <c r="AG103" s="309"/>
      <c r="AH103" s="309"/>
      <c r="AI103" s="309"/>
      <c r="AJ103" s="309"/>
      <c r="AK103" s="309"/>
      <c r="AL103" s="309"/>
      <c r="AM103" s="309"/>
      <c r="AN103" s="309"/>
      <c r="AO103" s="309"/>
      <c r="AP103" s="645"/>
    </row>
    <row r="104" spans="1:42" s="505" customFormat="1" x14ac:dyDescent="0.3">
      <c r="A104"/>
      <c r="B104" s="6"/>
      <c r="C104" s="6"/>
      <c r="D104" s="6">
        <f t="shared" si="6"/>
        <v>2</v>
      </c>
      <c r="E104" s="642" t="str">
        <f t="shared" si="9"/>
        <v>Avg Transmission Capacity</v>
      </c>
      <c r="F104" s="303"/>
      <c r="G104" s="15"/>
      <c r="H104" s="312"/>
      <c r="I104" s="308">
        <v>1.6</v>
      </c>
      <c r="J104" s="308">
        <v>1.6</v>
      </c>
      <c r="K104" s="308">
        <v>1.6</v>
      </c>
      <c r="L104" s="618">
        <v>1.6</v>
      </c>
      <c r="M104" s="618">
        <v>1.6</v>
      </c>
      <c r="N104" s="618">
        <v>1.6</v>
      </c>
      <c r="O104" s="618">
        <v>1.6</v>
      </c>
      <c r="P104" s="618">
        <v>1.6</v>
      </c>
      <c r="Q104" s="618">
        <v>1.6</v>
      </c>
      <c r="R104" s="618">
        <v>1.6</v>
      </c>
      <c r="S104" s="618">
        <v>1.6</v>
      </c>
      <c r="T104" s="618">
        <v>1.6</v>
      </c>
      <c r="U104" s="618">
        <v>1.6</v>
      </c>
      <c r="V104" s="618">
        <v>1.6</v>
      </c>
      <c r="W104" s="618">
        <v>1.6</v>
      </c>
      <c r="X104" s="618">
        <v>1.6</v>
      </c>
      <c r="Y104" s="618">
        <v>1.6</v>
      </c>
      <c r="Z104" s="618">
        <v>1.6</v>
      </c>
      <c r="AA104" s="618">
        <v>1.6</v>
      </c>
      <c r="AB104" s="308">
        <v>1.6</v>
      </c>
      <c r="AC104" s="309"/>
      <c r="AD104" s="309"/>
      <c r="AE104" s="309"/>
      <c r="AF104" s="309"/>
      <c r="AG104" s="309"/>
      <c r="AH104" s="309"/>
      <c r="AI104" s="309"/>
      <c r="AJ104" s="309"/>
      <c r="AK104" s="309"/>
      <c r="AL104" s="309"/>
      <c r="AM104" s="309"/>
      <c r="AN104" s="309"/>
      <c r="AO104" s="309"/>
      <c r="AP104" s="645"/>
    </row>
    <row r="105" spans="1:42" s="505" customFormat="1" x14ac:dyDescent="0.3">
      <c r="A105"/>
      <c r="B105" s="6"/>
      <c r="C105" s="6"/>
      <c r="D105" s="6">
        <f t="shared" si="6"/>
        <v>2</v>
      </c>
      <c r="E105" s="642" t="str">
        <f t="shared" si="9"/>
        <v>Avg Distribution Capacity</v>
      </c>
      <c r="F105" s="303"/>
      <c r="G105" s="15"/>
      <c r="H105" s="312"/>
      <c r="I105" s="308">
        <v>1.4650000000000001</v>
      </c>
      <c r="J105" s="308">
        <v>1.4650000000000001</v>
      </c>
      <c r="K105" s="308">
        <v>1.44</v>
      </c>
      <c r="L105" s="618">
        <v>1.48</v>
      </c>
      <c r="M105" s="618">
        <v>1.38</v>
      </c>
      <c r="N105" s="618">
        <v>1.393</v>
      </c>
      <c r="O105" s="618">
        <v>1.4060000000000001</v>
      </c>
      <c r="P105" s="618">
        <v>1.4190000000000003</v>
      </c>
      <c r="Q105" s="618">
        <v>1.4320000000000004</v>
      </c>
      <c r="R105" s="618">
        <v>1.4450000000000001</v>
      </c>
      <c r="S105" s="618">
        <v>1.4612000000000001</v>
      </c>
      <c r="T105" s="618">
        <v>1.4774</v>
      </c>
      <c r="U105" s="618">
        <v>1.4936</v>
      </c>
      <c r="V105" s="618">
        <v>1.5098</v>
      </c>
      <c r="W105" s="618">
        <v>1.526</v>
      </c>
      <c r="X105" s="618">
        <v>1.5138</v>
      </c>
      <c r="Y105" s="618">
        <v>1.5016</v>
      </c>
      <c r="Z105" s="618">
        <v>1.4894000000000001</v>
      </c>
      <c r="AA105" s="618">
        <v>1.4772000000000001</v>
      </c>
      <c r="AB105" s="308">
        <v>1.4650000000000001</v>
      </c>
      <c r="AC105" s="309"/>
      <c r="AD105" s="309"/>
      <c r="AE105" s="309"/>
      <c r="AF105" s="309"/>
      <c r="AG105" s="309"/>
      <c r="AH105" s="309"/>
      <c r="AI105" s="309"/>
      <c r="AJ105" s="309"/>
      <c r="AK105" s="309"/>
      <c r="AL105" s="309"/>
      <c r="AM105" s="309"/>
      <c r="AN105" s="309"/>
      <c r="AO105" s="309"/>
      <c r="AP105" s="645"/>
    </row>
    <row r="106" spans="1:42" s="505" customFormat="1" x14ac:dyDescent="0.3">
      <c r="A106"/>
      <c r="B106" s="6"/>
      <c r="C106" s="6"/>
      <c r="D106" s="6">
        <f t="shared" si="6"/>
        <v>2</v>
      </c>
      <c r="E106" s="642" t="str">
        <f t="shared" si="9"/>
        <v>GHG Impacts</v>
      </c>
      <c r="F106" s="303"/>
      <c r="G106" s="15"/>
      <c r="H106" s="312"/>
      <c r="I106" s="308">
        <v>18.25</v>
      </c>
      <c r="J106" s="308">
        <v>18.25</v>
      </c>
      <c r="K106" s="308">
        <v>18.25</v>
      </c>
      <c r="L106" s="618">
        <v>18.25</v>
      </c>
      <c r="M106" s="618">
        <v>18.25</v>
      </c>
      <c r="N106" s="618">
        <v>18.25</v>
      </c>
      <c r="O106" s="618">
        <v>18.25</v>
      </c>
      <c r="P106" s="618">
        <v>18.25</v>
      </c>
      <c r="Q106" s="618">
        <v>18.25</v>
      </c>
      <c r="R106" s="618">
        <v>18.13</v>
      </c>
      <c r="S106" s="618">
        <v>18.25</v>
      </c>
      <c r="T106" s="618">
        <v>18.25</v>
      </c>
      <c r="U106" s="618">
        <v>18.25</v>
      </c>
      <c r="V106" s="618">
        <v>18.25</v>
      </c>
      <c r="W106" s="618">
        <v>17.7</v>
      </c>
      <c r="X106" s="618">
        <v>18.25</v>
      </c>
      <c r="Y106" s="618">
        <v>18.25</v>
      </c>
      <c r="Z106" s="618">
        <v>18.25</v>
      </c>
      <c r="AA106" s="618">
        <v>18.25</v>
      </c>
      <c r="AB106" s="308">
        <v>17.11</v>
      </c>
      <c r="AC106" s="309"/>
      <c r="AD106" s="309"/>
      <c r="AE106" s="309"/>
      <c r="AF106" s="309"/>
      <c r="AG106" s="309"/>
      <c r="AH106" s="309"/>
      <c r="AI106" s="309"/>
      <c r="AJ106" s="309"/>
      <c r="AK106" s="309"/>
      <c r="AL106" s="309"/>
      <c r="AM106" s="309"/>
      <c r="AN106" s="309"/>
      <c r="AO106" s="309"/>
      <c r="AP106" s="645"/>
    </row>
    <row r="107" spans="1:42" s="505" customFormat="1" x14ac:dyDescent="0.3">
      <c r="A107"/>
      <c r="B107" s="6"/>
      <c r="C107" s="6"/>
      <c r="D107" s="6">
        <f t="shared" si="6"/>
        <v>2</v>
      </c>
      <c r="E107" s="642" t="str">
        <f t="shared" si="9"/>
        <v>Market Price Effects - Wholesale Energy</v>
      </c>
      <c r="F107" s="303"/>
      <c r="G107" s="15"/>
      <c r="H107" s="312"/>
      <c r="I107" s="308">
        <v>18.25</v>
      </c>
      <c r="J107" s="308">
        <v>18.25</v>
      </c>
      <c r="K107" s="308">
        <v>18.25</v>
      </c>
      <c r="L107" s="618">
        <v>18.25</v>
      </c>
      <c r="M107" s="618">
        <v>18.25</v>
      </c>
      <c r="N107" s="618">
        <v>18.25</v>
      </c>
      <c r="O107" s="618">
        <v>18.25</v>
      </c>
      <c r="P107" s="618">
        <v>18.25</v>
      </c>
      <c r="Q107" s="618">
        <v>18.25</v>
      </c>
      <c r="R107" s="618">
        <v>18.25</v>
      </c>
      <c r="S107" s="618">
        <v>18.25</v>
      </c>
      <c r="T107" s="618">
        <v>18.25</v>
      </c>
      <c r="U107" s="618">
        <v>18.25</v>
      </c>
      <c r="V107" s="618">
        <v>18.25</v>
      </c>
      <c r="W107" s="618">
        <v>18.25</v>
      </c>
      <c r="X107" s="618">
        <v>18.25</v>
      </c>
      <c r="Y107" s="618">
        <v>18.25</v>
      </c>
      <c r="Z107" s="618">
        <v>18.25</v>
      </c>
      <c r="AA107" s="618">
        <v>18.25</v>
      </c>
      <c r="AB107" s="308">
        <v>18.25</v>
      </c>
      <c r="AC107" s="309"/>
      <c r="AD107" s="309"/>
      <c r="AE107" s="309"/>
      <c r="AF107" s="309"/>
      <c r="AG107" s="309"/>
      <c r="AH107" s="309"/>
      <c r="AI107" s="309"/>
      <c r="AJ107" s="309"/>
      <c r="AK107" s="309"/>
      <c r="AL107" s="309"/>
      <c r="AM107" s="309"/>
      <c r="AN107" s="309"/>
      <c r="AO107" s="309"/>
      <c r="AP107" s="645"/>
    </row>
    <row r="108" spans="1:42" x14ac:dyDescent="0.3">
      <c r="B108" s="6"/>
      <c r="C108" s="6"/>
      <c r="D108" s="6">
        <f t="shared" si="6"/>
        <v>2</v>
      </c>
      <c r="E108" s="642" t="str">
        <f t="shared" si="9"/>
        <v>Market Price Effects - Wholesale Capacity</v>
      </c>
      <c r="F108" s="303"/>
      <c r="G108" s="15"/>
      <c r="H108" s="505"/>
      <c r="I108" s="308">
        <v>0</v>
      </c>
      <c r="J108" s="308">
        <v>0</v>
      </c>
      <c r="K108" s="308">
        <v>0</v>
      </c>
      <c r="L108" s="618">
        <v>0</v>
      </c>
      <c r="M108" s="618">
        <v>0</v>
      </c>
      <c r="N108" s="618">
        <v>0</v>
      </c>
      <c r="O108" s="618">
        <v>0</v>
      </c>
      <c r="P108" s="618">
        <v>0</v>
      </c>
      <c r="Q108" s="618">
        <v>0</v>
      </c>
      <c r="R108" s="618">
        <v>0</v>
      </c>
      <c r="S108" s="618">
        <v>0</v>
      </c>
      <c r="T108" s="618">
        <v>0</v>
      </c>
      <c r="U108" s="618">
        <v>0</v>
      </c>
      <c r="V108" s="618">
        <v>0</v>
      </c>
      <c r="W108" s="618">
        <v>0</v>
      </c>
      <c r="X108" s="618">
        <v>0</v>
      </c>
      <c r="Y108" s="618">
        <v>0</v>
      </c>
      <c r="Z108" s="618">
        <v>0</v>
      </c>
      <c r="AA108" s="618">
        <v>0</v>
      </c>
      <c r="AB108" s="308">
        <v>0</v>
      </c>
      <c r="AC108" s="309"/>
      <c r="AD108" s="309"/>
      <c r="AE108" s="309"/>
      <c r="AF108" s="309"/>
      <c r="AG108" s="309"/>
      <c r="AH108" s="309"/>
      <c r="AI108" s="309"/>
      <c r="AJ108" s="309"/>
      <c r="AK108" s="309"/>
      <c r="AL108" s="309"/>
      <c r="AM108" s="309"/>
      <c r="AN108" s="309"/>
      <c r="AO108" s="309"/>
      <c r="AP108" s="163"/>
    </row>
    <row r="109" spans="1:42" x14ac:dyDescent="0.3">
      <c r="B109" s="6"/>
      <c r="C109" s="6"/>
      <c r="D109" s="6">
        <f t="shared" si="6"/>
        <v>2</v>
      </c>
      <c r="E109" s="544"/>
      <c r="F109" s="545"/>
      <c r="G109" s="545"/>
      <c r="H109" s="545"/>
      <c r="I109" s="545"/>
      <c r="J109" s="545"/>
      <c r="K109" s="545"/>
      <c r="L109" s="545"/>
      <c r="M109" s="545"/>
      <c r="N109" s="545"/>
      <c r="O109" s="545"/>
      <c r="P109" s="545"/>
      <c r="Q109" s="545"/>
      <c r="R109" s="545"/>
      <c r="S109" s="545"/>
      <c r="T109" s="545"/>
      <c r="U109" s="545"/>
      <c r="V109" s="545"/>
      <c r="W109" s="545"/>
      <c r="X109" s="545"/>
      <c r="Y109" s="545"/>
      <c r="Z109" s="545"/>
      <c r="AA109" s="545"/>
      <c r="AB109" s="545"/>
      <c r="AC109" s="545"/>
      <c r="AD109" s="545"/>
      <c r="AE109" s="545"/>
      <c r="AF109" s="545"/>
      <c r="AG109" s="545"/>
      <c r="AH109" s="545"/>
      <c r="AI109" s="545"/>
      <c r="AJ109" s="545"/>
      <c r="AK109" s="545"/>
      <c r="AL109" s="545"/>
      <c r="AM109" s="545"/>
      <c r="AN109" s="545"/>
      <c r="AO109" s="545"/>
      <c r="AP109" s="543"/>
    </row>
    <row r="110" spans="1:42" ht="21" x14ac:dyDescent="0.4">
      <c r="B110" s="6"/>
      <c r="C110" s="6"/>
      <c r="D110" s="6">
        <f t="shared" si="6"/>
        <v>3</v>
      </c>
      <c r="E110" s="632" t="str">
        <f>_xlfn.CONCAT(revenueSimulationID," ",$D110,"|",INDEX(StdConfigDesc,$D110,$E$29))</f>
        <v>Case 3|C&amp;I - Small (0.5 MW/1 MWh)</v>
      </c>
      <c r="F110" s="633"/>
      <c r="G110" s="633"/>
      <c r="H110" s="633"/>
      <c r="I110" s="633"/>
      <c r="J110" s="633"/>
      <c r="K110" s="633"/>
      <c r="L110" s="633"/>
      <c r="M110" s="633"/>
      <c r="N110" s="633"/>
      <c r="O110" s="633"/>
      <c r="P110" s="633"/>
      <c r="Q110" s="633"/>
      <c r="R110" s="633"/>
      <c r="S110" s="633"/>
      <c r="T110" s="633"/>
      <c r="U110" s="633"/>
      <c r="V110" s="633"/>
      <c r="W110" s="633"/>
      <c r="X110" s="633"/>
      <c r="Y110" s="633"/>
      <c r="Z110" s="633"/>
      <c r="AA110" s="633"/>
      <c r="AB110" s="633"/>
      <c r="AC110" s="633"/>
      <c r="AD110" s="633"/>
      <c r="AE110" s="633"/>
      <c r="AF110" s="633"/>
      <c r="AG110" s="633"/>
      <c r="AH110" s="633"/>
      <c r="AI110" s="633"/>
      <c r="AJ110" s="633"/>
      <c r="AK110" s="633"/>
      <c r="AL110" s="633"/>
      <c r="AM110" s="633"/>
      <c r="AN110" s="633"/>
      <c r="AO110" s="633"/>
      <c r="AP110" s="634"/>
    </row>
    <row r="111" spans="1:42" ht="25.8" x14ac:dyDescent="0.5">
      <c r="B111" s="6"/>
      <c r="C111" s="6"/>
      <c r="D111" s="6">
        <f t="shared" si="6"/>
        <v>3</v>
      </c>
      <c r="E111" s="635"/>
      <c r="F111" s="2">
        <v>2025</v>
      </c>
      <c r="G111" s="2">
        <f>F111+1</f>
        <v>2026</v>
      </c>
      <c r="H111" s="2">
        <f t="shared" ref="H111:AO111" si="10">G111+1</f>
        <v>2027</v>
      </c>
      <c r="I111" s="2">
        <f t="shared" si="10"/>
        <v>2028</v>
      </c>
      <c r="J111" s="2">
        <f t="shared" si="10"/>
        <v>2029</v>
      </c>
      <c r="K111" s="2">
        <f t="shared" si="10"/>
        <v>2030</v>
      </c>
      <c r="L111" s="2">
        <f t="shared" si="10"/>
        <v>2031</v>
      </c>
      <c r="M111" s="2">
        <f t="shared" si="10"/>
        <v>2032</v>
      </c>
      <c r="N111" s="2">
        <f t="shared" si="10"/>
        <v>2033</v>
      </c>
      <c r="O111" s="2">
        <f t="shared" si="10"/>
        <v>2034</v>
      </c>
      <c r="P111" s="2">
        <f t="shared" si="10"/>
        <v>2035</v>
      </c>
      <c r="Q111" s="2">
        <f t="shared" si="10"/>
        <v>2036</v>
      </c>
      <c r="R111" s="2">
        <f t="shared" si="10"/>
        <v>2037</v>
      </c>
      <c r="S111" s="2">
        <f t="shared" si="10"/>
        <v>2038</v>
      </c>
      <c r="T111" s="2">
        <f t="shared" si="10"/>
        <v>2039</v>
      </c>
      <c r="U111" s="2">
        <f t="shared" si="10"/>
        <v>2040</v>
      </c>
      <c r="V111" s="2">
        <f t="shared" si="10"/>
        <v>2041</v>
      </c>
      <c r="W111" s="2">
        <f t="shared" si="10"/>
        <v>2042</v>
      </c>
      <c r="X111" s="2">
        <f t="shared" si="10"/>
        <v>2043</v>
      </c>
      <c r="Y111" s="2">
        <f t="shared" si="10"/>
        <v>2044</v>
      </c>
      <c r="Z111" s="2">
        <f t="shared" si="10"/>
        <v>2045</v>
      </c>
      <c r="AA111" s="2">
        <f t="shared" si="10"/>
        <v>2046</v>
      </c>
      <c r="AB111" s="2">
        <f t="shared" si="10"/>
        <v>2047</v>
      </c>
      <c r="AC111" s="2">
        <f t="shared" si="10"/>
        <v>2048</v>
      </c>
      <c r="AD111" s="2">
        <f t="shared" si="10"/>
        <v>2049</v>
      </c>
      <c r="AE111" s="2">
        <f t="shared" si="10"/>
        <v>2050</v>
      </c>
      <c r="AF111" s="2">
        <f t="shared" si="10"/>
        <v>2051</v>
      </c>
      <c r="AG111" s="2">
        <f t="shared" si="10"/>
        <v>2052</v>
      </c>
      <c r="AH111" s="2">
        <f t="shared" si="10"/>
        <v>2053</v>
      </c>
      <c r="AI111" s="2">
        <f t="shared" si="10"/>
        <v>2054</v>
      </c>
      <c r="AJ111" s="2">
        <f t="shared" si="10"/>
        <v>2055</v>
      </c>
      <c r="AK111" s="2">
        <f t="shared" si="10"/>
        <v>2056</v>
      </c>
      <c r="AL111" s="2">
        <f t="shared" si="10"/>
        <v>2057</v>
      </c>
      <c r="AM111" s="2">
        <f t="shared" si="10"/>
        <v>2058</v>
      </c>
      <c r="AN111" s="2">
        <f t="shared" si="10"/>
        <v>2059</v>
      </c>
      <c r="AO111" s="2">
        <f t="shared" si="10"/>
        <v>2060</v>
      </c>
      <c r="AP111" s="163"/>
    </row>
    <row r="112" spans="1:42" x14ac:dyDescent="0.3">
      <c r="B112" s="6"/>
      <c r="C112" s="6"/>
      <c r="D112" s="6">
        <f t="shared" si="6"/>
        <v>3</v>
      </c>
      <c r="E112" s="636" t="str">
        <f>E72</f>
        <v>Capacity - PJM Market</v>
      </c>
      <c r="F112" s="302"/>
      <c r="G112" s="302"/>
      <c r="H112" s="302"/>
      <c r="I112" s="302">
        <v>0</v>
      </c>
      <c r="J112" s="302">
        <v>0</v>
      </c>
      <c r="K112" s="302">
        <v>0</v>
      </c>
      <c r="L112" s="302">
        <v>0</v>
      </c>
      <c r="M112" s="302">
        <v>0</v>
      </c>
      <c r="N112" s="302">
        <v>0</v>
      </c>
      <c r="O112" s="302">
        <v>0</v>
      </c>
      <c r="P112" s="302">
        <v>0</v>
      </c>
      <c r="Q112" s="302">
        <v>0</v>
      </c>
      <c r="R112" s="302">
        <v>0</v>
      </c>
      <c r="S112" s="302">
        <v>0</v>
      </c>
      <c r="T112" s="302">
        <v>0</v>
      </c>
      <c r="U112" s="302">
        <v>0</v>
      </c>
      <c r="V112" s="302">
        <v>0</v>
      </c>
      <c r="W112" s="302">
        <v>0</v>
      </c>
      <c r="X112" s="302">
        <v>0</v>
      </c>
      <c r="Y112" s="302">
        <v>0</v>
      </c>
      <c r="Z112" s="302">
        <v>0</v>
      </c>
      <c r="AA112" s="302">
        <v>0</v>
      </c>
      <c r="AB112" s="302">
        <v>0</v>
      </c>
      <c r="AC112" s="302">
        <v>0</v>
      </c>
      <c r="AD112" s="302">
        <v>0</v>
      </c>
      <c r="AE112" s="302">
        <v>0</v>
      </c>
      <c r="AF112" s="302">
        <v>0</v>
      </c>
      <c r="AG112" s="302">
        <v>0</v>
      </c>
      <c r="AH112" s="302">
        <v>0</v>
      </c>
      <c r="AI112" s="302">
        <v>0</v>
      </c>
      <c r="AJ112" s="302">
        <v>0</v>
      </c>
      <c r="AK112" s="302">
        <v>0</v>
      </c>
      <c r="AL112" s="302">
        <v>0</v>
      </c>
      <c r="AM112" s="302">
        <v>0</v>
      </c>
      <c r="AN112" s="302">
        <v>0</v>
      </c>
      <c r="AO112" s="302">
        <v>0</v>
      </c>
      <c r="AP112" s="163"/>
    </row>
    <row r="113" spans="2:42" x14ac:dyDescent="0.3">
      <c r="B113" s="6"/>
      <c r="C113" s="6"/>
      <c r="D113" s="6">
        <f t="shared" si="6"/>
        <v>3</v>
      </c>
      <c r="E113" s="636" t="str">
        <f t="shared" ref="E113:E148" si="11">E73</f>
        <v>Energy Arbitrage - PJM Market</v>
      </c>
      <c r="F113" s="303"/>
      <c r="G113" s="304"/>
      <c r="H113" s="315"/>
      <c r="I113" s="304">
        <v>0</v>
      </c>
      <c r="J113" s="304">
        <v>0</v>
      </c>
      <c r="K113" s="304">
        <v>0</v>
      </c>
      <c r="L113" s="304">
        <v>0</v>
      </c>
      <c r="M113" s="304">
        <v>0</v>
      </c>
      <c r="N113" s="304">
        <v>0</v>
      </c>
      <c r="O113" s="304">
        <v>0</v>
      </c>
      <c r="P113" s="304">
        <v>0</v>
      </c>
      <c r="Q113" s="304">
        <v>0</v>
      </c>
      <c r="R113" s="304">
        <v>0</v>
      </c>
      <c r="S113" s="304">
        <v>0</v>
      </c>
      <c r="T113" s="304">
        <v>0</v>
      </c>
      <c r="U113" s="304">
        <v>0</v>
      </c>
      <c r="V113" s="304">
        <v>0</v>
      </c>
      <c r="W113" s="304">
        <v>0</v>
      </c>
      <c r="X113" s="304">
        <v>0</v>
      </c>
      <c r="Y113" s="304">
        <v>0</v>
      </c>
      <c r="Z113" s="304">
        <v>0</v>
      </c>
      <c r="AA113" s="304">
        <v>0</v>
      </c>
      <c r="AB113" s="304"/>
      <c r="AC113" s="304">
        <v>0</v>
      </c>
      <c r="AD113" s="304">
        <v>0</v>
      </c>
      <c r="AE113" s="304">
        <v>0</v>
      </c>
      <c r="AF113" s="304">
        <v>0</v>
      </c>
      <c r="AG113" s="304">
        <v>0</v>
      </c>
      <c r="AH113" s="304">
        <v>0</v>
      </c>
      <c r="AI113" s="304">
        <v>0</v>
      </c>
      <c r="AJ113" s="304">
        <v>0</v>
      </c>
      <c r="AK113" s="304">
        <v>0</v>
      </c>
      <c r="AL113" s="304">
        <v>0</v>
      </c>
      <c r="AM113" s="304">
        <v>0</v>
      </c>
      <c r="AN113" s="304">
        <v>0</v>
      </c>
      <c r="AO113" s="304">
        <v>0</v>
      </c>
      <c r="AP113" s="163"/>
    </row>
    <row r="114" spans="2:42" x14ac:dyDescent="0.3">
      <c r="B114" s="6"/>
      <c r="C114" s="6"/>
      <c r="D114" s="6">
        <f t="shared" si="6"/>
        <v>3</v>
      </c>
      <c r="E114" s="636" t="str">
        <f t="shared" si="11"/>
        <v>Spin- PJM Market</v>
      </c>
      <c r="F114" s="303"/>
      <c r="G114" s="304"/>
      <c r="H114" s="315"/>
      <c r="I114" s="304">
        <v>6061.1274772766965</v>
      </c>
      <c r="J114" s="304">
        <v>5780.1453351281534</v>
      </c>
      <c r="K114" s="304">
        <v>5805.0748659307628</v>
      </c>
      <c r="L114" s="304">
        <v>5457.9456575957665</v>
      </c>
      <c r="M114" s="304">
        <v>5222.8447838962511</v>
      </c>
      <c r="N114" s="304">
        <v>5343.2367113094788</v>
      </c>
      <c r="O114" s="304">
        <v>5463.6286387227055</v>
      </c>
      <c r="P114" s="304">
        <v>5584.0205661359332</v>
      </c>
      <c r="Q114" s="304">
        <v>5704.41249354916</v>
      </c>
      <c r="R114" s="304">
        <v>5824.8044209623877</v>
      </c>
      <c r="S114" s="304">
        <v>6134.5533445935434</v>
      </c>
      <c r="T114" s="304">
        <v>6444.3022682247001</v>
      </c>
      <c r="U114" s="304">
        <v>6754.0511918558559</v>
      </c>
      <c r="V114" s="304">
        <v>7063.8001154870126</v>
      </c>
      <c r="W114" s="304">
        <v>7373.5490391181684</v>
      </c>
      <c r="X114" s="304">
        <v>7714.5039380073467</v>
      </c>
      <c r="Y114" s="304">
        <v>8055.4588368965242</v>
      </c>
      <c r="Z114" s="304">
        <v>8396.4137357857016</v>
      </c>
      <c r="AA114" s="304">
        <v>8737.36863467488</v>
      </c>
      <c r="AB114" s="304">
        <v>9078.3235335640584</v>
      </c>
      <c r="AC114" s="304">
        <v>0</v>
      </c>
      <c r="AD114" s="304">
        <v>0</v>
      </c>
      <c r="AE114" s="304">
        <v>0</v>
      </c>
      <c r="AF114" s="304">
        <v>0</v>
      </c>
      <c r="AG114" s="304">
        <v>0</v>
      </c>
      <c r="AH114" s="304">
        <v>0</v>
      </c>
      <c r="AI114" s="304">
        <v>0</v>
      </c>
      <c r="AJ114" s="304">
        <v>0</v>
      </c>
      <c r="AK114" s="304">
        <v>0</v>
      </c>
      <c r="AL114" s="304">
        <v>0</v>
      </c>
      <c r="AM114" s="304">
        <v>0</v>
      </c>
      <c r="AN114" s="304">
        <v>0</v>
      </c>
      <c r="AO114" s="304">
        <v>0</v>
      </c>
      <c r="AP114" s="163"/>
    </row>
    <row r="115" spans="2:42" x14ac:dyDescent="0.3">
      <c r="B115" s="6"/>
      <c r="C115" s="6"/>
      <c r="D115" s="6">
        <f t="shared" si="6"/>
        <v>3</v>
      </c>
      <c r="E115" s="636" t="str">
        <f t="shared" si="11"/>
        <v>Non-Spin - PJM Market</v>
      </c>
      <c r="F115" s="303"/>
      <c r="G115" s="304"/>
      <c r="H115" s="315"/>
      <c r="I115" s="304">
        <v>0</v>
      </c>
      <c r="J115" s="304">
        <v>0</v>
      </c>
      <c r="K115" s="304">
        <v>0</v>
      </c>
      <c r="L115" s="304">
        <v>0</v>
      </c>
      <c r="M115" s="304">
        <v>0</v>
      </c>
      <c r="N115" s="304">
        <v>0</v>
      </c>
      <c r="O115" s="304">
        <v>0</v>
      </c>
      <c r="P115" s="304">
        <v>0</v>
      </c>
      <c r="Q115" s="304">
        <v>0</v>
      </c>
      <c r="R115" s="304">
        <v>0</v>
      </c>
      <c r="S115" s="304">
        <v>0</v>
      </c>
      <c r="T115" s="304">
        <v>0</v>
      </c>
      <c r="U115" s="304">
        <v>0</v>
      </c>
      <c r="V115" s="304">
        <v>0</v>
      </c>
      <c r="W115" s="304">
        <v>0</v>
      </c>
      <c r="X115" s="304">
        <v>0</v>
      </c>
      <c r="Y115" s="304">
        <v>0</v>
      </c>
      <c r="Z115" s="304">
        <v>0</v>
      </c>
      <c r="AA115" s="304">
        <v>0</v>
      </c>
      <c r="AB115" s="304"/>
      <c r="AC115" s="304">
        <v>0</v>
      </c>
      <c r="AD115" s="304">
        <v>0</v>
      </c>
      <c r="AE115" s="304">
        <v>0</v>
      </c>
      <c r="AF115" s="304">
        <v>0</v>
      </c>
      <c r="AG115" s="304">
        <v>0</v>
      </c>
      <c r="AH115" s="304">
        <v>0</v>
      </c>
      <c r="AI115" s="304">
        <v>0</v>
      </c>
      <c r="AJ115" s="304">
        <v>0</v>
      </c>
      <c r="AK115" s="304">
        <v>0</v>
      </c>
      <c r="AL115" s="304">
        <v>0</v>
      </c>
      <c r="AM115" s="304">
        <v>0</v>
      </c>
      <c r="AN115" s="304">
        <v>0</v>
      </c>
      <c r="AO115" s="304">
        <v>0</v>
      </c>
      <c r="AP115" s="163"/>
    </row>
    <row r="116" spans="2:42" x14ac:dyDescent="0.3">
      <c r="B116" s="6"/>
      <c r="C116" s="6"/>
      <c r="D116" s="6">
        <f t="shared" si="6"/>
        <v>3</v>
      </c>
      <c r="E116" s="636" t="str">
        <f t="shared" si="11"/>
        <v>Regulation - PJM Market</v>
      </c>
      <c r="F116" s="303"/>
      <c r="G116" s="304"/>
      <c r="H116" s="315"/>
      <c r="I116" s="304">
        <v>60788.102482670714</v>
      </c>
      <c r="J116" s="304">
        <v>36147.790846069911</v>
      </c>
      <c r="K116" s="304">
        <v>23317.604307160502</v>
      </c>
      <c r="L116" s="304">
        <v>17739.149717892549</v>
      </c>
      <c r="M116" s="304">
        <v>13121.590988422524</v>
      </c>
      <c r="N116" s="304">
        <v>11901.100462580789</v>
      </c>
      <c r="O116" s="304">
        <v>10680.609936739054</v>
      </c>
      <c r="P116" s="304">
        <v>9460.1194108973177</v>
      </c>
      <c r="Q116" s="304">
        <v>8239.6288850555829</v>
      </c>
      <c r="R116" s="304">
        <v>7019.1383592138491</v>
      </c>
      <c r="S116" s="304">
        <v>7221.050474056774</v>
      </c>
      <c r="T116" s="304">
        <v>7422.9625888996989</v>
      </c>
      <c r="U116" s="304">
        <v>7624.8747037426238</v>
      </c>
      <c r="V116" s="304">
        <v>7826.7868185855486</v>
      </c>
      <c r="W116" s="304">
        <v>8028.6989334284735</v>
      </c>
      <c r="X116" s="304">
        <v>8103.1828321293542</v>
      </c>
      <c r="Y116" s="304">
        <v>8177.6667308302349</v>
      </c>
      <c r="Z116" s="304">
        <v>8252.1506295311156</v>
      </c>
      <c r="AA116" s="304">
        <v>8326.6345282319962</v>
      </c>
      <c r="AB116" s="304">
        <v>8401.1184269328769</v>
      </c>
      <c r="AC116" s="304">
        <v>0</v>
      </c>
      <c r="AD116" s="304">
        <v>0</v>
      </c>
      <c r="AE116" s="304">
        <v>0</v>
      </c>
      <c r="AF116" s="304">
        <v>0</v>
      </c>
      <c r="AG116" s="304">
        <v>0</v>
      </c>
      <c r="AH116" s="304">
        <v>0</v>
      </c>
      <c r="AI116" s="304">
        <v>0</v>
      </c>
      <c r="AJ116" s="304">
        <v>0</v>
      </c>
      <c r="AK116" s="304">
        <v>0</v>
      </c>
      <c r="AL116" s="304">
        <v>0</v>
      </c>
      <c r="AM116" s="304">
        <v>0</v>
      </c>
      <c r="AN116" s="304">
        <v>0</v>
      </c>
      <c r="AO116" s="304">
        <v>0</v>
      </c>
      <c r="AP116" s="163"/>
    </row>
    <row r="117" spans="2:42" x14ac:dyDescent="0.3">
      <c r="B117" s="6"/>
      <c r="C117" s="6"/>
      <c r="D117" s="6">
        <f t="shared" si="6"/>
        <v>3</v>
      </c>
      <c r="E117" s="636" t="str">
        <f t="shared" si="11"/>
        <v>Incurred Energy Charges</v>
      </c>
      <c r="F117" s="303"/>
      <c r="G117" s="304"/>
      <c r="H117" s="315"/>
      <c r="I117" s="304">
        <v>0</v>
      </c>
      <c r="J117" s="304">
        <v>0</v>
      </c>
      <c r="K117" s="304">
        <v>0</v>
      </c>
      <c r="L117" s="304">
        <v>0</v>
      </c>
      <c r="M117" s="304">
        <v>0</v>
      </c>
      <c r="N117" s="304">
        <v>0</v>
      </c>
      <c r="O117" s="304">
        <v>0</v>
      </c>
      <c r="P117" s="304">
        <v>0</v>
      </c>
      <c r="Q117" s="304">
        <v>0</v>
      </c>
      <c r="R117" s="304">
        <v>0</v>
      </c>
      <c r="S117" s="304">
        <v>0</v>
      </c>
      <c r="T117" s="304">
        <v>0</v>
      </c>
      <c r="U117" s="304">
        <v>0</v>
      </c>
      <c r="V117" s="304">
        <v>0</v>
      </c>
      <c r="W117" s="304">
        <v>0</v>
      </c>
      <c r="X117" s="304">
        <v>0</v>
      </c>
      <c r="Y117" s="304">
        <v>0</v>
      </c>
      <c r="Z117" s="304">
        <v>0</v>
      </c>
      <c r="AA117" s="304">
        <v>0</v>
      </c>
      <c r="AB117" s="304"/>
      <c r="AC117" s="304">
        <v>0</v>
      </c>
      <c r="AD117" s="304">
        <v>0</v>
      </c>
      <c r="AE117" s="304">
        <v>0</v>
      </c>
      <c r="AF117" s="304">
        <v>0</v>
      </c>
      <c r="AG117" s="304">
        <v>0</v>
      </c>
      <c r="AH117" s="304">
        <v>0</v>
      </c>
      <c r="AI117" s="304">
        <v>0</v>
      </c>
      <c r="AJ117" s="304">
        <v>0</v>
      </c>
      <c r="AK117" s="304">
        <v>0</v>
      </c>
      <c r="AL117" s="304">
        <v>0</v>
      </c>
      <c r="AM117" s="304">
        <v>0</v>
      </c>
      <c r="AN117" s="304">
        <v>0</v>
      </c>
      <c r="AO117" s="304">
        <v>0</v>
      </c>
      <c r="AP117" s="163"/>
    </row>
    <row r="118" spans="2:42" x14ac:dyDescent="0.3">
      <c r="B118" s="6"/>
      <c r="C118" s="6"/>
      <c r="D118" s="6">
        <f t="shared" si="6"/>
        <v>3</v>
      </c>
      <c r="E118" s="636" t="str">
        <f t="shared" si="11"/>
        <v>As Used Demand Charges</v>
      </c>
      <c r="F118" s="303"/>
      <c r="G118" s="304"/>
      <c r="H118" s="315"/>
      <c r="I118" s="304">
        <v>0</v>
      </c>
      <c r="J118" s="304">
        <v>0</v>
      </c>
      <c r="K118" s="304">
        <v>0</v>
      </c>
      <c r="L118" s="304">
        <v>0</v>
      </c>
      <c r="M118" s="304">
        <v>0</v>
      </c>
      <c r="N118" s="304">
        <v>0</v>
      </c>
      <c r="O118" s="304">
        <v>0</v>
      </c>
      <c r="P118" s="304">
        <v>0</v>
      </c>
      <c r="Q118" s="304">
        <v>0</v>
      </c>
      <c r="R118" s="304">
        <v>0</v>
      </c>
      <c r="S118" s="304">
        <v>0</v>
      </c>
      <c r="T118" s="304">
        <v>0</v>
      </c>
      <c r="U118" s="304">
        <v>0</v>
      </c>
      <c r="V118" s="304">
        <v>0</v>
      </c>
      <c r="W118" s="304">
        <v>0</v>
      </c>
      <c r="X118" s="304">
        <v>0</v>
      </c>
      <c r="Y118" s="304">
        <v>0</v>
      </c>
      <c r="Z118" s="304">
        <v>0</v>
      </c>
      <c r="AA118" s="304">
        <v>0</v>
      </c>
      <c r="AB118" s="304"/>
      <c r="AC118" s="304">
        <v>0</v>
      </c>
      <c r="AD118" s="304">
        <v>0</v>
      </c>
      <c r="AE118" s="304">
        <v>0</v>
      </c>
      <c r="AF118" s="304">
        <v>0</v>
      </c>
      <c r="AG118" s="304">
        <v>0</v>
      </c>
      <c r="AH118" s="304">
        <v>0</v>
      </c>
      <c r="AI118" s="304">
        <v>0</v>
      </c>
      <c r="AJ118" s="304">
        <v>0</v>
      </c>
      <c r="AK118" s="304">
        <v>0</v>
      </c>
      <c r="AL118" s="304">
        <v>0</v>
      </c>
      <c r="AM118" s="304">
        <v>0</v>
      </c>
      <c r="AN118" s="304">
        <v>0</v>
      </c>
      <c r="AO118" s="304">
        <v>0</v>
      </c>
      <c r="AP118" s="163"/>
    </row>
    <row r="119" spans="2:42" x14ac:dyDescent="0.3">
      <c r="B119" s="6"/>
      <c r="C119" s="6"/>
      <c r="D119" s="6">
        <f t="shared" si="6"/>
        <v>3</v>
      </c>
      <c r="E119" s="636" t="str">
        <f t="shared" si="11"/>
        <v>Contract Demand Charges  Fixed</v>
      </c>
      <c r="F119" s="303"/>
      <c r="G119" s="304"/>
      <c r="H119" s="315"/>
      <c r="I119" s="304">
        <v>0</v>
      </c>
      <c r="J119" s="304">
        <v>0</v>
      </c>
      <c r="K119" s="304">
        <v>0</v>
      </c>
      <c r="L119" s="304">
        <v>0</v>
      </c>
      <c r="M119" s="304">
        <v>0</v>
      </c>
      <c r="N119" s="304">
        <v>0</v>
      </c>
      <c r="O119" s="304">
        <v>0</v>
      </c>
      <c r="P119" s="304">
        <v>0</v>
      </c>
      <c r="Q119" s="304">
        <v>0</v>
      </c>
      <c r="R119" s="304">
        <v>0</v>
      </c>
      <c r="S119" s="304">
        <v>0</v>
      </c>
      <c r="T119" s="304">
        <v>0</v>
      </c>
      <c r="U119" s="304">
        <v>0</v>
      </c>
      <c r="V119" s="304">
        <v>0</v>
      </c>
      <c r="W119" s="304">
        <v>0</v>
      </c>
      <c r="X119" s="304">
        <v>0</v>
      </c>
      <c r="Y119" s="304">
        <v>0</v>
      </c>
      <c r="Z119" s="304">
        <v>0</v>
      </c>
      <c r="AA119" s="304">
        <v>0</v>
      </c>
      <c r="AB119" s="304"/>
      <c r="AC119" s="304">
        <v>0</v>
      </c>
      <c r="AD119" s="304">
        <v>0</v>
      </c>
      <c r="AE119" s="304">
        <v>0</v>
      </c>
      <c r="AF119" s="304">
        <v>0</v>
      </c>
      <c r="AG119" s="304">
        <v>0</v>
      </c>
      <c r="AH119" s="304">
        <v>0</v>
      </c>
      <c r="AI119" s="304">
        <v>0</v>
      </c>
      <c r="AJ119" s="304">
        <v>0</v>
      </c>
      <c r="AK119" s="304">
        <v>0</v>
      </c>
      <c r="AL119" s="304">
        <v>0</v>
      </c>
      <c r="AM119" s="304">
        <v>0</v>
      </c>
      <c r="AN119" s="304">
        <v>0</v>
      </c>
      <c r="AO119" s="304">
        <v>0</v>
      </c>
      <c r="AP119" s="163"/>
    </row>
    <row r="120" spans="2:42" x14ac:dyDescent="0.3">
      <c r="B120" s="6"/>
      <c r="C120" s="6"/>
      <c r="D120" s="6">
        <f t="shared" si="6"/>
        <v>3</v>
      </c>
      <c r="E120" s="636" t="str">
        <f t="shared" si="11"/>
        <v>Customer Charges/ Fixed Charges</v>
      </c>
      <c r="F120" s="303"/>
      <c r="G120" s="304"/>
      <c r="H120" s="315"/>
      <c r="I120" s="304">
        <v>0</v>
      </c>
      <c r="J120" s="304">
        <v>0</v>
      </c>
      <c r="K120" s="304">
        <v>0</v>
      </c>
      <c r="L120" s="304">
        <v>0</v>
      </c>
      <c r="M120" s="304">
        <v>0</v>
      </c>
      <c r="N120" s="304">
        <v>0</v>
      </c>
      <c r="O120" s="304">
        <v>0</v>
      </c>
      <c r="P120" s="304">
        <v>0</v>
      </c>
      <c r="Q120" s="304">
        <v>0</v>
      </c>
      <c r="R120" s="304">
        <v>0</v>
      </c>
      <c r="S120" s="304">
        <v>0</v>
      </c>
      <c r="T120" s="304">
        <v>0</v>
      </c>
      <c r="U120" s="304">
        <v>0</v>
      </c>
      <c r="V120" s="304">
        <v>0</v>
      </c>
      <c r="W120" s="304">
        <v>0</v>
      </c>
      <c r="X120" s="304">
        <v>0</v>
      </c>
      <c r="Y120" s="304">
        <v>0</v>
      </c>
      <c r="Z120" s="304">
        <v>0</v>
      </c>
      <c r="AA120" s="304">
        <v>0</v>
      </c>
      <c r="AB120" s="304"/>
      <c r="AC120" s="304">
        <v>0</v>
      </c>
      <c r="AD120" s="304">
        <v>0</v>
      </c>
      <c r="AE120" s="304">
        <v>0</v>
      </c>
      <c r="AF120" s="304">
        <v>0</v>
      </c>
      <c r="AG120" s="304">
        <v>0</v>
      </c>
      <c r="AH120" s="304">
        <v>0</v>
      </c>
      <c r="AI120" s="304">
        <v>0</v>
      </c>
      <c r="AJ120" s="304">
        <v>0</v>
      </c>
      <c r="AK120" s="304">
        <v>0</v>
      </c>
      <c r="AL120" s="304">
        <v>0</v>
      </c>
      <c r="AM120" s="304">
        <v>0</v>
      </c>
      <c r="AN120" s="304">
        <v>0</v>
      </c>
      <c r="AO120" s="304">
        <v>0</v>
      </c>
      <c r="AP120" s="163"/>
    </row>
    <row r="121" spans="2:42" x14ac:dyDescent="0.3">
      <c r="B121" s="6"/>
      <c r="C121" s="6"/>
      <c r="D121" s="6">
        <f t="shared" si="6"/>
        <v>3</v>
      </c>
      <c r="E121" s="637" t="str">
        <f t="shared" si="11"/>
        <v>Energy Savings</v>
      </c>
      <c r="F121" s="303"/>
      <c r="G121" s="304"/>
      <c r="H121" s="315"/>
      <c r="I121" s="304">
        <v>798.69871721384698</v>
      </c>
      <c r="J121" s="304">
        <v>600.85760323511204</v>
      </c>
      <c r="K121" s="304">
        <v>3050.4129261464113</v>
      </c>
      <c r="L121" s="617">
        <v>3289.5838363970106</v>
      </c>
      <c r="M121" s="617">
        <v>3511.4438492911868</v>
      </c>
      <c r="N121" s="617">
        <v>4050.6778662679835</v>
      </c>
      <c r="O121" s="617">
        <v>4589.9118832447803</v>
      </c>
      <c r="P121" s="617">
        <v>5129.1459002215761</v>
      </c>
      <c r="Q121" s="617">
        <v>5668.3799171983728</v>
      </c>
      <c r="R121" s="617">
        <v>6207.6139341751696</v>
      </c>
      <c r="S121" s="617">
        <v>6339.7858906573265</v>
      </c>
      <c r="T121" s="617">
        <v>6471.9578471394834</v>
      </c>
      <c r="U121" s="617">
        <v>6604.1298036216413</v>
      </c>
      <c r="V121" s="617">
        <v>6736.3017601037982</v>
      </c>
      <c r="W121" s="617">
        <v>6868.4737165859551</v>
      </c>
      <c r="X121" s="617">
        <v>7185.3923208315509</v>
      </c>
      <c r="Y121" s="617">
        <v>7502.3109250771467</v>
      </c>
      <c r="Z121" s="617">
        <v>7819.2295293227417</v>
      </c>
      <c r="AA121" s="617">
        <v>8136.1481335683375</v>
      </c>
      <c r="AB121" s="304">
        <v>8453.0667378139333</v>
      </c>
      <c r="AC121" s="304">
        <v>0</v>
      </c>
      <c r="AD121" s="304">
        <v>0</v>
      </c>
      <c r="AE121" s="304">
        <v>0</v>
      </c>
      <c r="AF121" s="304">
        <v>0</v>
      </c>
      <c r="AG121" s="304">
        <v>0</v>
      </c>
      <c r="AH121" s="304">
        <v>0</v>
      </c>
      <c r="AI121" s="304">
        <v>0</v>
      </c>
      <c r="AJ121" s="304">
        <v>0</v>
      </c>
      <c r="AK121" s="304">
        <v>0</v>
      </c>
      <c r="AL121" s="304">
        <v>0</v>
      </c>
      <c r="AM121" s="304">
        <v>0</v>
      </c>
      <c r="AN121" s="304">
        <v>0</v>
      </c>
      <c r="AO121" s="304">
        <v>0</v>
      </c>
      <c r="AP121" s="163"/>
    </row>
    <row r="122" spans="2:42" x14ac:dyDescent="0.3">
      <c r="B122" s="6"/>
      <c r="C122" s="6"/>
      <c r="D122" s="6">
        <f t="shared" si="6"/>
        <v>3</v>
      </c>
      <c r="E122" s="637" t="str">
        <f t="shared" si="11"/>
        <v xml:space="preserve">Demand Savings </v>
      </c>
      <c r="F122" s="303"/>
      <c r="G122" s="304"/>
      <c r="H122" s="315"/>
      <c r="I122" s="304">
        <v>11997.864507472999</v>
      </c>
      <c r="J122" s="304">
        <v>14367.721582656843</v>
      </c>
      <c r="K122" s="304">
        <v>16778.578003414077</v>
      </c>
      <c r="L122" s="617">
        <v>17271.136834725232</v>
      </c>
      <c r="M122" s="617">
        <v>16661.127313484551</v>
      </c>
      <c r="N122" s="617">
        <v>17007.75817072481</v>
      </c>
      <c r="O122" s="617">
        <v>17354.38902796507</v>
      </c>
      <c r="P122" s="617">
        <v>17701.019885205333</v>
      </c>
      <c r="Q122" s="617">
        <v>18047.650742445592</v>
      </c>
      <c r="R122" s="617">
        <v>18394.281599685852</v>
      </c>
      <c r="S122" s="617">
        <v>18705.700042305685</v>
      </c>
      <c r="T122" s="617">
        <v>19017.118484925515</v>
      </c>
      <c r="U122" s="617">
        <v>19328.536927545349</v>
      </c>
      <c r="V122" s="617">
        <v>19639.955370165178</v>
      </c>
      <c r="W122" s="617">
        <v>19951.373812785012</v>
      </c>
      <c r="X122" s="617">
        <v>20881.023502322176</v>
      </c>
      <c r="Y122" s="617">
        <v>21810.673191859343</v>
      </c>
      <c r="Z122" s="617">
        <v>22740.322881396507</v>
      </c>
      <c r="AA122" s="617">
        <v>23669.972570933674</v>
      </c>
      <c r="AB122" s="304">
        <v>24599.622260470838</v>
      </c>
      <c r="AC122" s="304">
        <v>0</v>
      </c>
      <c r="AD122" s="304">
        <v>0</v>
      </c>
      <c r="AE122" s="304">
        <v>0</v>
      </c>
      <c r="AF122" s="304">
        <v>0</v>
      </c>
      <c r="AG122" s="304">
        <v>0</v>
      </c>
      <c r="AH122" s="304">
        <v>0</v>
      </c>
      <c r="AI122" s="304">
        <v>0</v>
      </c>
      <c r="AJ122" s="304">
        <v>0</v>
      </c>
      <c r="AK122" s="304">
        <v>0</v>
      </c>
      <c r="AL122" s="304">
        <v>0</v>
      </c>
      <c r="AM122" s="304">
        <v>0</v>
      </c>
      <c r="AN122" s="304">
        <v>0</v>
      </c>
      <c r="AO122" s="304">
        <v>0</v>
      </c>
      <c r="AP122" s="163"/>
    </row>
    <row r="123" spans="2:42" x14ac:dyDescent="0.3">
      <c r="B123" s="6"/>
      <c r="C123" s="6"/>
      <c r="D123" s="6">
        <f t="shared" si="6"/>
        <v>3</v>
      </c>
      <c r="E123" s="638" t="str">
        <f t="shared" si="11"/>
        <v>Energy Generation - Export</v>
      </c>
      <c r="F123" s="303"/>
      <c r="G123" s="304"/>
      <c r="H123" s="315"/>
      <c r="I123" s="304">
        <v>630.75764024566706</v>
      </c>
      <c r="J123" s="304">
        <v>1570.677416286389</v>
      </c>
      <c r="K123" s="304">
        <v>1693.3215584101008</v>
      </c>
      <c r="L123" s="617">
        <v>1976.6422039295048</v>
      </c>
      <c r="M123" s="617">
        <v>2506.2458055287207</v>
      </c>
      <c r="N123" s="617">
        <v>2588.3844431927191</v>
      </c>
      <c r="O123" s="617">
        <v>2670.5230808567176</v>
      </c>
      <c r="P123" s="617">
        <v>2752.661718520716</v>
      </c>
      <c r="Q123" s="617">
        <v>2834.8003561847145</v>
      </c>
      <c r="R123" s="617">
        <v>2916.9389938487129</v>
      </c>
      <c r="S123" s="617">
        <v>2882.1479332491285</v>
      </c>
      <c r="T123" s="617">
        <v>2847.3568726495437</v>
      </c>
      <c r="U123" s="617">
        <v>2812.5658120499593</v>
      </c>
      <c r="V123" s="617">
        <v>2777.7747514503744</v>
      </c>
      <c r="W123" s="617">
        <v>2742.98369085079</v>
      </c>
      <c r="X123" s="617">
        <v>2730.9034980755969</v>
      </c>
      <c r="Y123" s="617">
        <v>2718.8233053004042</v>
      </c>
      <c r="Z123" s="617">
        <v>2706.743112525211</v>
      </c>
      <c r="AA123" s="617">
        <v>2694.6629197500183</v>
      </c>
      <c r="AB123" s="304">
        <v>2682.5827269748252</v>
      </c>
      <c r="AC123" s="304">
        <v>0</v>
      </c>
      <c r="AD123" s="304">
        <v>0</v>
      </c>
      <c r="AE123" s="304">
        <v>0</v>
      </c>
      <c r="AF123" s="304">
        <v>0</v>
      </c>
      <c r="AG123" s="304">
        <v>0</v>
      </c>
      <c r="AH123" s="304">
        <v>0</v>
      </c>
      <c r="AI123" s="304">
        <v>0</v>
      </c>
      <c r="AJ123" s="304">
        <v>0</v>
      </c>
      <c r="AK123" s="304">
        <v>0</v>
      </c>
      <c r="AL123" s="304">
        <v>0</v>
      </c>
      <c r="AM123" s="304">
        <v>0</v>
      </c>
      <c r="AN123" s="304">
        <v>0</v>
      </c>
      <c r="AO123" s="304">
        <v>0</v>
      </c>
      <c r="AP123" s="163"/>
    </row>
    <row r="124" spans="2:42" x14ac:dyDescent="0.3">
      <c r="B124" s="6"/>
      <c r="C124" s="6"/>
      <c r="D124" s="6">
        <f t="shared" si="6"/>
        <v>3</v>
      </c>
      <c r="E124" s="638" t="str">
        <f t="shared" si="11"/>
        <v>Generation Capacity</v>
      </c>
      <c r="F124" s="303"/>
      <c r="G124" s="304"/>
      <c r="H124" s="315"/>
      <c r="I124" s="304">
        <v>15042.379473510495</v>
      </c>
      <c r="J124" s="304">
        <v>14117.514372916174</v>
      </c>
      <c r="K124" s="304">
        <v>13978.705921399682</v>
      </c>
      <c r="L124" s="617">
        <v>13909.682489266435</v>
      </c>
      <c r="M124" s="617">
        <v>15525.348125026971</v>
      </c>
      <c r="N124" s="617">
        <v>16441.200002452399</v>
      </c>
      <c r="O124" s="617">
        <v>17357.051879877825</v>
      </c>
      <c r="P124" s="617">
        <v>18272.903757303255</v>
      </c>
      <c r="Q124" s="617">
        <v>19188.755634728681</v>
      </c>
      <c r="R124" s="617">
        <v>20104.607512154107</v>
      </c>
      <c r="S124" s="617">
        <v>20681.842102662344</v>
      </c>
      <c r="T124" s="617">
        <v>21259.07669317058</v>
      </c>
      <c r="U124" s="617">
        <v>21836.31128367882</v>
      </c>
      <c r="V124" s="617">
        <v>22413.545874187057</v>
      </c>
      <c r="W124" s="617">
        <v>22990.780464695294</v>
      </c>
      <c r="X124" s="617">
        <v>23158.110402370137</v>
      </c>
      <c r="Y124" s="617">
        <v>23325.440340044981</v>
      </c>
      <c r="Z124" s="617">
        <v>23492.770277719825</v>
      </c>
      <c r="AA124" s="617">
        <v>23660.100215394668</v>
      </c>
      <c r="AB124" s="304">
        <v>23827.430153069512</v>
      </c>
      <c r="AC124" s="304">
        <v>0</v>
      </c>
      <c r="AD124" s="304">
        <v>0</v>
      </c>
      <c r="AE124" s="304">
        <v>0</v>
      </c>
      <c r="AF124" s="304">
        <v>0</v>
      </c>
      <c r="AG124" s="304">
        <v>0</v>
      </c>
      <c r="AH124" s="304">
        <v>0</v>
      </c>
      <c r="AI124" s="304">
        <v>0</v>
      </c>
      <c r="AJ124" s="304">
        <v>0</v>
      </c>
      <c r="AK124" s="304">
        <v>0</v>
      </c>
      <c r="AL124" s="304">
        <v>0</v>
      </c>
      <c r="AM124" s="304">
        <v>0</v>
      </c>
      <c r="AN124" s="304">
        <v>0</v>
      </c>
      <c r="AO124" s="304">
        <v>0</v>
      </c>
      <c r="AP124" s="163"/>
    </row>
    <row r="125" spans="2:42" x14ac:dyDescent="0.3">
      <c r="B125" s="6"/>
      <c r="C125" s="6"/>
      <c r="D125" s="6">
        <f t="shared" si="6"/>
        <v>3</v>
      </c>
      <c r="E125" s="638" t="str">
        <f t="shared" si="11"/>
        <v>Transmission Capacity</v>
      </c>
      <c r="F125" s="303"/>
      <c r="G125" s="304"/>
      <c r="H125" s="315"/>
      <c r="I125" s="304">
        <v>5040.3502404960291</v>
      </c>
      <c r="J125" s="304">
        <v>4730.4495336021455</v>
      </c>
      <c r="K125" s="304">
        <v>4683.9380615829687</v>
      </c>
      <c r="L125" s="617">
        <v>4660.8099206285851</v>
      </c>
      <c r="M125" s="617">
        <v>5202.1817621053588</v>
      </c>
      <c r="N125" s="617">
        <v>5509.062348303115</v>
      </c>
      <c r="O125" s="617">
        <v>5815.9429345008703</v>
      </c>
      <c r="P125" s="617">
        <v>6122.8235206986265</v>
      </c>
      <c r="Q125" s="617">
        <v>6429.7041068963827</v>
      </c>
      <c r="R125" s="617">
        <v>6736.5846930941379</v>
      </c>
      <c r="S125" s="617">
        <v>6834.0845690425822</v>
      </c>
      <c r="T125" s="617">
        <v>6931.5844449910264</v>
      </c>
      <c r="U125" s="617">
        <v>7029.0843209394698</v>
      </c>
      <c r="V125" s="617">
        <v>7126.584196887914</v>
      </c>
      <c r="W125" s="617">
        <v>7224.0840728363582</v>
      </c>
      <c r="X125" s="617">
        <v>7276.6619111364453</v>
      </c>
      <c r="Y125" s="617">
        <v>7329.2397494365314</v>
      </c>
      <c r="Z125" s="617">
        <v>7381.8175877366184</v>
      </c>
      <c r="AA125" s="617">
        <v>7434.3954260367045</v>
      </c>
      <c r="AB125" s="304">
        <v>7486.9732643367915</v>
      </c>
      <c r="AC125" s="304">
        <v>0</v>
      </c>
      <c r="AD125" s="304">
        <v>0</v>
      </c>
      <c r="AE125" s="304">
        <v>0</v>
      </c>
      <c r="AF125" s="304">
        <v>0</v>
      </c>
      <c r="AG125" s="304">
        <v>0</v>
      </c>
      <c r="AH125" s="304">
        <v>0</v>
      </c>
      <c r="AI125" s="304">
        <v>0</v>
      </c>
      <c r="AJ125" s="304">
        <v>0</v>
      </c>
      <c r="AK125" s="304">
        <v>0</v>
      </c>
      <c r="AL125" s="304">
        <v>0</v>
      </c>
      <c r="AM125" s="304">
        <v>0</v>
      </c>
      <c r="AN125" s="304">
        <v>0</v>
      </c>
      <c r="AO125" s="304">
        <v>0</v>
      </c>
      <c r="AP125" s="163"/>
    </row>
    <row r="126" spans="2:42" x14ac:dyDescent="0.3">
      <c r="B126" s="6"/>
      <c r="C126" s="6"/>
      <c r="D126" s="6">
        <f t="shared" si="6"/>
        <v>3</v>
      </c>
      <c r="E126" s="638" t="str">
        <f t="shared" si="11"/>
        <v>Distribution Capacity</v>
      </c>
      <c r="F126" s="303"/>
      <c r="G126" s="304"/>
      <c r="H126" s="315"/>
      <c r="I126" s="304">
        <v>747.87490288254548</v>
      </c>
      <c r="J126" s="304">
        <v>837.42611627751353</v>
      </c>
      <c r="K126" s="304">
        <v>953.25857946493272</v>
      </c>
      <c r="L126" s="617">
        <v>937.00890430760512</v>
      </c>
      <c r="M126" s="617">
        <v>1116.6170264627599</v>
      </c>
      <c r="N126" s="617">
        <v>1192.8012621734115</v>
      </c>
      <c r="O126" s="617">
        <v>1268.9854978840631</v>
      </c>
      <c r="P126" s="617">
        <v>1345.1697335947147</v>
      </c>
      <c r="Q126" s="617">
        <v>1421.3539693053665</v>
      </c>
      <c r="R126" s="617">
        <v>1497.5382050160181</v>
      </c>
      <c r="S126" s="617">
        <v>1506.857250390658</v>
      </c>
      <c r="T126" s="617">
        <v>1516.1762957652979</v>
      </c>
      <c r="U126" s="617">
        <v>1525.4953411399379</v>
      </c>
      <c r="V126" s="617">
        <v>1534.8143865145778</v>
      </c>
      <c r="W126" s="617">
        <v>1544.1334318892177</v>
      </c>
      <c r="X126" s="617">
        <v>1526.6845082180832</v>
      </c>
      <c r="Y126" s="617">
        <v>1509.2355845469488</v>
      </c>
      <c r="Z126" s="617">
        <v>1491.7866608758141</v>
      </c>
      <c r="AA126" s="617">
        <v>1474.3377372046796</v>
      </c>
      <c r="AB126" s="304">
        <v>1456.8888135335451</v>
      </c>
      <c r="AC126" s="304">
        <v>0</v>
      </c>
      <c r="AD126" s="304">
        <v>0</v>
      </c>
      <c r="AE126" s="304">
        <v>0</v>
      </c>
      <c r="AF126" s="304">
        <v>0</v>
      </c>
      <c r="AG126" s="304">
        <v>0</v>
      </c>
      <c r="AH126" s="304">
        <v>0</v>
      </c>
      <c r="AI126" s="304">
        <v>0</v>
      </c>
      <c r="AJ126" s="304">
        <v>0</v>
      </c>
      <c r="AK126" s="304">
        <v>0</v>
      </c>
      <c r="AL126" s="304">
        <v>0</v>
      </c>
      <c r="AM126" s="304">
        <v>0</v>
      </c>
      <c r="AN126" s="304">
        <v>0</v>
      </c>
      <c r="AO126" s="304">
        <v>0</v>
      </c>
      <c r="AP126" s="163"/>
    </row>
    <row r="127" spans="2:42" x14ac:dyDescent="0.3">
      <c r="B127" s="6"/>
      <c r="C127" s="6"/>
      <c r="D127" s="6">
        <f t="shared" si="6"/>
        <v>3</v>
      </c>
      <c r="E127" s="638" t="str">
        <f t="shared" si="11"/>
        <v>GHG Impacts</v>
      </c>
      <c r="F127" s="303"/>
      <c r="G127" s="304"/>
      <c r="H127" s="315"/>
      <c r="I127" s="304">
        <v>6878.4044719688691</v>
      </c>
      <c r="J127" s="304">
        <v>8382.8756793275224</v>
      </c>
      <c r="K127" s="304">
        <v>3474.2101642799826</v>
      </c>
      <c r="L127" s="617">
        <v>5546.635725673822</v>
      </c>
      <c r="M127" s="617">
        <v>7206.8655765880876</v>
      </c>
      <c r="N127" s="617">
        <v>8223.6798951910187</v>
      </c>
      <c r="O127" s="617">
        <v>9240.4942137939506</v>
      </c>
      <c r="P127" s="617">
        <v>10257.308532396881</v>
      </c>
      <c r="Q127" s="617">
        <v>11274.122850999813</v>
      </c>
      <c r="R127" s="617">
        <v>12290.937169602745</v>
      </c>
      <c r="S127" s="617">
        <v>14528.055409875938</v>
      </c>
      <c r="T127" s="617">
        <v>16765.173650149132</v>
      </c>
      <c r="U127" s="617">
        <v>19002.291890422326</v>
      </c>
      <c r="V127" s="617">
        <v>21239.41013069552</v>
      </c>
      <c r="W127" s="617">
        <v>23476.528370968714</v>
      </c>
      <c r="X127" s="617">
        <v>26010.407743959429</v>
      </c>
      <c r="Y127" s="617">
        <v>28544.287116950145</v>
      </c>
      <c r="Z127" s="617">
        <v>31078.166489940857</v>
      </c>
      <c r="AA127" s="617">
        <v>33612.045862931569</v>
      </c>
      <c r="AB127" s="304">
        <v>36145.925235922288</v>
      </c>
      <c r="AC127" s="304">
        <v>0</v>
      </c>
      <c r="AD127" s="304">
        <v>0</v>
      </c>
      <c r="AE127" s="304">
        <v>0</v>
      </c>
      <c r="AF127" s="304">
        <v>0</v>
      </c>
      <c r="AG127" s="304">
        <v>0</v>
      </c>
      <c r="AH127" s="304">
        <v>0</v>
      </c>
      <c r="AI127" s="304">
        <v>0</v>
      </c>
      <c r="AJ127" s="304">
        <v>0</v>
      </c>
      <c r="AK127" s="304">
        <v>0</v>
      </c>
      <c r="AL127" s="304">
        <v>0</v>
      </c>
      <c r="AM127" s="304">
        <v>0</v>
      </c>
      <c r="AN127" s="304">
        <v>0</v>
      </c>
      <c r="AO127" s="304">
        <v>0</v>
      </c>
      <c r="AP127" s="163"/>
    </row>
    <row r="128" spans="2:42" x14ac:dyDescent="0.3">
      <c r="B128" s="6"/>
      <c r="C128" s="6"/>
      <c r="D128" s="6">
        <f t="shared" si="6"/>
        <v>3</v>
      </c>
      <c r="E128" s="638" t="str">
        <f t="shared" si="11"/>
        <v>Market Price Effects - Wholesale Energy</v>
      </c>
      <c r="F128" s="303"/>
      <c r="G128" s="304"/>
      <c r="H128" s="315"/>
      <c r="I128" s="304">
        <v>-668.39553289658636</v>
      </c>
      <c r="J128" s="304">
        <v>-362.14950643245459</v>
      </c>
      <c r="K128" s="304">
        <v>-500.9748687083719</v>
      </c>
      <c r="L128" s="617">
        <v>-489.60048172123015</v>
      </c>
      <c r="M128" s="617">
        <v>725.17619865879976</v>
      </c>
      <c r="N128" s="617">
        <v>650.23029274800604</v>
      </c>
      <c r="O128" s="617">
        <v>575.2843868372122</v>
      </c>
      <c r="P128" s="617">
        <v>500.33848092641847</v>
      </c>
      <c r="Q128" s="617">
        <v>425.39257501562474</v>
      </c>
      <c r="R128" s="617">
        <v>350.44666910483096</v>
      </c>
      <c r="S128" s="617">
        <v>798.64566200301806</v>
      </c>
      <c r="T128" s="617">
        <v>1246.8446549012053</v>
      </c>
      <c r="U128" s="617">
        <v>1695.0436477993926</v>
      </c>
      <c r="V128" s="617">
        <v>2143.2426406975796</v>
      </c>
      <c r="W128" s="617">
        <v>2591.4416335957667</v>
      </c>
      <c r="X128" s="617">
        <v>2821.3817188693588</v>
      </c>
      <c r="Y128" s="617">
        <v>3051.3218041429509</v>
      </c>
      <c r="Z128" s="617">
        <v>3281.2618894165435</v>
      </c>
      <c r="AA128" s="617">
        <v>3511.2019746901356</v>
      </c>
      <c r="AB128" s="304">
        <v>3741.1420599637277</v>
      </c>
      <c r="AC128" s="304">
        <v>0</v>
      </c>
      <c r="AD128" s="304">
        <v>0</v>
      </c>
      <c r="AE128" s="304">
        <v>0</v>
      </c>
      <c r="AF128" s="304">
        <v>0</v>
      </c>
      <c r="AG128" s="304">
        <v>0</v>
      </c>
      <c r="AH128" s="304">
        <v>0</v>
      </c>
      <c r="AI128" s="304">
        <v>0</v>
      </c>
      <c r="AJ128" s="304">
        <v>0</v>
      </c>
      <c r="AK128" s="304">
        <v>0</v>
      </c>
      <c r="AL128" s="304">
        <v>0</v>
      </c>
      <c r="AM128" s="304">
        <v>0</v>
      </c>
      <c r="AN128" s="304">
        <v>0</v>
      </c>
      <c r="AO128" s="304">
        <v>0</v>
      </c>
      <c r="AP128" s="163"/>
    </row>
    <row r="129" spans="2:42" x14ac:dyDescent="0.3">
      <c r="B129" s="6"/>
      <c r="C129" s="6"/>
      <c r="D129" s="6">
        <f t="shared" si="6"/>
        <v>3</v>
      </c>
      <c r="E129" s="638" t="str">
        <f t="shared" si="11"/>
        <v>Market Price Effects - Wholesale Capacity</v>
      </c>
      <c r="F129" s="303"/>
      <c r="G129" s="304"/>
      <c r="H129" s="304"/>
      <c r="I129" s="304">
        <v>0</v>
      </c>
      <c r="J129" s="304">
        <v>0</v>
      </c>
      <c r="K129" s="304">
        <v>0</v>
      </c>
      <c r="L129" s="617">
        <v>0</v>
      </c>
      <c r="M129" s="617">
        <v>0</v>
      </c>
      <c r="N129" s="617">
        <v>0</v>
      </c>
      <c r="O129" s="617">
        <v>0</v>
      </c>
      <c r="P129" s="617">
        <v>0</v>
      </c>
      <c r="Q129" s="617">
        <v>0</v>
      </c>
      <c r="R129" s="617">
        <v>0</v>
      </c>
      <c r="S129" s="617">
        <v>0</v>
      </c>
      <c r="T129" s="617">
        <v>0</v>
      </c>
      <c r="U129" s="617">
        <v>0</v>
      </c>
      <c r="V129" s="617">
        <v>0</v>
      </c>
      <c r="W129" s="617">
        <v>0</v>
      </c>
      <c r="X129" s="617">
        <v>0</v>
      </c>
      <c r="Y129" s="617">
        <v>0</v>
      </c>
      <c r="Z129" s="617">
        <v>0</v>
      </c>
      <c r="AA129" s="617">
        <v>0</v>
      </c>
      <c r="AB129" s="304"/>
      <c r="AC129" s="304">
        <v>0</v>
      </c>
      <c r="AD129" s="304">
        <v>0</v>
      </c>
      <c r="AE129" s="304">
        <v>0</v>
      </c>
      <c r="AF129" s="304">
        <v>0</v>
      </c>
      <c r="AG129" s="304">
        <v>0</v>
      </c>
      <c r="AH129" s="304">
        <v>0</v>
      </c>
      <c r="AI129" s="304">
        <v>0</v>
      </c>
      <c r="AJ129" s="304">
        <v>0</v>
      </c>
      <c r="AK129" s="304">
        <v>0</v>
      </c>
      <c r="AL129" s="304">
        <v>0</v>
      </c>
      <c r="AM129" s="304">
        <v>0</v>
      </c>
      <c r="AN129" s="304">
        <v>0</v>
      </c>
      <c r="AO129" s="304">
        <v>0</v>
      </c>
      <c r="AP129" s="163"/>
    </row>
    <row r="130" spans="2:42" x14ac:dyDescent="0.3">
      <c r="B130" s="6"/>
      <c r="C130" s="6"/>
      <c r="D130" s="6">
        <f t="shared" si="6"/>
        <v>3</v>
      </c>
      <c r="E130" s="639" t="str">
        <f>E90</f>
        <v>Avoided Cost of Participant Backup Generator</v>
      </c>
      <c r="F130" s="303"/>
      <c r="G130" s="303"/>
      <c r="H130" s="304"/>
      <c r="I130" s="303"/>
      <c r="J130" s="303"/>
      <c r="K130" s="303"/>
      <c r="L130" s="303"/>
      <c r="M130" s="303"/>
      <c r="N130" s="303"/>
      <c r="O130" s="303"/>
      <c r="P130" s="303"/>
      <c r="Q130" s="303"/>
      <c r="R130" s="303"/>
      <c r="S130" s="303"/>
      <c r="T130" s="303"/>
      <c r="U130" s="303"/>
      <c r="V130" s="303"/>
      <c r="W130" s="303"/>
      <c r="X130" s="303"/>
      <c r="Y130" s="303"/>
      <c r="Z130" s="303"/>
      <c r="AA130" s="303"/>
      <c r="AB130" s="303"/>
      <c r="AC130" s="303" cm="1">
        <f t="array" ref="AC130">IF(AC$31=Inputs!$E$5,INDEX(Inputs!$BV$10:$BV$25,$D130)*INDEX(StdConfigDesc,$D130,$L$29)*1000,0)</f>
        <v>0</v>
      </c>
      <c r="AD130" s="303" cm="1">
        <f t="array" ref="AD130">IF(AD$31=Inputs!$E$5,INDEX(Inputs!$BV$10:$BV$25,$D130)*INDEX(StdConfigDesc,$D130,$L$29)*1000,0)</f>
        <v>0</v>
      </c>
      <c r="AE130" s="303" cm="1">
        <f t="array" ref="AE130">IF(AE$31=Inputs!$E$5,INDEX(Inputs!$BV$10:$BV$25,$D130)*INDEX(StdConfigDesc,$D130,$L$29)*1000,0)</f>
        <v>0</v>
      </c>
      <c r="AF130" s="303" cm="1">
        <f t="array" ref="AF130">IF(AF$31=Inputs!$E$5,INDEX(Inputs!$BV$10:$BV$25,$D130)*INDEX(StdConfigDesc,$D130,$L$29)*1000,0)</f>
        <v>0</v>
      </c>
      <c r="AG130" s="303" cm="1">
        <f t="array" ref="AG130">IF(AG$31=Inputs!$E$5,INDEX(Inputs!$BV$10:$BV$25,$D130)*INDEX(StdConfigDesc,$D130,$L$29)*1000,0)</f>
        <v>0</v>
      </c>
      <c r="AH130" s="303" cm="1">
        <f t="array" ref="AH130">IF(AH$31=Inputs!$E$5,INDEX(Inputs!$BV$10:$BV$25,$D130)*INDEX(StdConfigDesc,$D130,$L$29)*1000,0)</f>
        <v>0</v>
      </c>
      <c r="AI130" s="303" cm="1">
        <f t="array" ref="AI130">IF(AI$31=Inputs!$E$5,INDEX(Inputs!$BV$10:$BV$25,$D130)*INDEX(StdConfigDesc,$D130,$L$29)*1000,0)</f>
        <v>0</v>
      </c>
      <c r="AJ130" s="303" cm="1">
        <f t="array" ref="AJ130">IF(AJ$31=Inputs!$E$5,INDEX(Inputs!$BV$10:$BV$25,$D130)*INDEX(StdConfigDesc,$D130,$L$29)*1000,0)</f>
        <v>0</v>
      </c>
      <c r="AK130" s="303" cm="1">
        <f t="array" ref="AK130">IF(AK$31=Inputs!$E$5,INDEX(Inputs!$BV$10:$BV$25,$D130)*INDEX(StdConfigDesc,$D130,$L$29)*1000,0)</f>
        <v>0</v>
      </c>
      <c r="AL130" s="303" cm="1">
        <f t="array" ref="AL130">IF(AL$31=Inputs!$E$5,INDEX(Inputs!$BV$10:$BV$25,$D130)*INDEX(StdConfigDesc,$D130,$L$29)*1000,0)</f>
        <v>0</v>
      </c>
      <c r="AM130" s="303" cm="1">
        <f t="array" ref="AM130">IF(AM$31=Inputs!$E$5,INDEX(Inputs!$BV$10:$BV$25,$D130)*INDEX(StdConfigDesc,$D130,$L$29)*1000,0)</f>
        <v>0</v>
      </c>
      <c r="AN130" s="303" cm="1">
        <f t="array" ref="AN130">IF(AN$31=Inputs!$E$5,INDEX(Inputs!$BV$10:$BV$25,$D130)*INDEX(StdConfigDesc,$D130,$L$29)*1000,0)</f>
        <v>0</v>
      </c>
      <c r="AO130" s="303" cm="1">
        <f t="array" ref="AO130">IF(AO$31=Inputs!$E$5,INDEX(Inputs!$BV$10:$BV$25,$D130)*INDEX(StdConfigDesc,$D130,$L$29)*1000,0)</f>
        <v>0</v>
      </c>
      <c r="AP130" s="163"/>
    </row>
    <row r="131" spans="2:42" x14ac:dyDescent="0.3">
      <c r="B131" s="6"/>
      <c r="C131" s="6"/>
      <c r="D131" s="6">
        <f t="shared" si="6"/>
        <v>3</v>
      </c>
      <c r="E131" s="640" t="str">
        <f t="shared" si="11"/>
        <v>Full Eq DoD Cycle</v>
      </c>
      <c r="F131" s="303"/>
      <c r="G131" s="303"/>
      <c r="H131" s="316"/>
      <c r="I131" s="308">
        <v>365.00000000000864</v>
      </c>
      <c r="J131" s="308">
        <v>365.00000000000279</v>
      </c>
      <c r="K131" s="308">
        <v>364.9999999999942</v>
      </c>
      <c r="L131" s="618">
        <v>364.99999999999875</v>
      </c>
      <c r="M131" s="618">
        <v>364.99999999999483</v>
      </c>
      <c r="N131" s="618">
        <v>364.99999999999483</v>
      </c>
      <c r="O131" s="618">
        <v>364.99999999999483</v>
      </c>
      <c r="P131" s="618">
        <v>364.99999999999483</v>
      </c>
      <c r="Q131" s="618">
        <v>364.99999999999483</v>
      </c>
      <c r="R131" s="618">
        <v>361.82914974156847</v>
      </c>
      <c r="S131" s="618">
        <v>361.82914974156847</v>
      </c>
      <c r="T131" s="618">
        <v>361.82914974156847</v>
      </c>
      <c r="U131" s="618">
        <v>361.82914974156847</v>
      </c>
      <c r="V131" s="618">
        <v>361.82914974156847</v>
      </c>
      <c r="W131" s="618">
        <v>364.99999999999341</v>
      </c>
      <c r="X131" s="618">
        <v>364.99999999999341</v>
      </c>
      <c r="Y131" s="618">
        <v>364.99999999999341</v>
      </c>
      <c r="Z131" s="618">
        <v>364.99999999999341</v>
      </c>
      <c r="AA131" s="618">
        <v>364.99999999999341</v>
      </c>
      <c r="AB131" s="308">
        <v>364.99999999999454</v>
      </c>
      <c r="AC131" s="309"/>
      <c r="AD131" s="309"/>
      <c r="AE131" s="309"/>
      <c r="AF131" s="309"/>
      <c r="AG131" s="309"/>
      <c r="AH131" s="309"/>
      <c r="AI131" s="309"/>
      <c r="AJ131" s="309"/>
      <c r="AK131" s="309"/>
      <c r="AL131" s="309"/>
      <c r="AM131" s="309"/>
      <c r="AN131" s="309"/>
      <c r="AO131" s="309"/>
      <c r="AP131" s="163"/>
    </row>
    <row r="132" spans="2:42" x14ac:dyDescent="0.3">
      <c r="B132" s="6"/>
      <c r="C132" s="6"/>
      <c r="D132" s="6">
        <f t="shared" si="6"/>
        <v>3</v>
      </c>
      <c r="E132" s="640" t="str">
        <f t="shared" si="11"/>
        <v>Export MWh</v>
      </c>
      <c r="F132" s="303"/>
      <c r="G132" s="303"/>
      <c r="H132" s="316"/>
      <c r="I132" s="308">
        <v>14.09</v>
      </c>
      <c r="J132" s="308">
        <v>4.0960000000000001</v>
      </c>
      <c r="K132" s="308">
        <v>3.1339999999999999</v>
      </c>
      <c r="L132" s="618">
        <v>4.056</v>
      </c>
      <c r="M132" s="618">
        <v>4.8856000000000002</v>
      </c>
      <c r="N132" s="618">
        <v>5.7152000000000003</v>
      </c>
      <c r="O132" s="618">
        <v>6.5448000000000004</v>
      </c>
      <c r="P132" s="618">
        <v>7.3744000000000005</v>
      </c>
      <c r="Q132" s="618">
        <v>8.2040000000000006</v>
      </c>
      <c r="R132" s="618">
        <v>7.1718000000000011</v>
      </c>
      <c r="S132" s="618">
        <v>6.1396000000000015</v>
      </c>
      <c r="T132" s="618">
        <v>5.1074000000000019</v>
      </c>
      <c r="U132" s="618">
        <v>4.0752000000000024</v>
      </c>
      <c r="V132" s="618">
        <v>3.0430000000000001</v>
      </c>
      <c r="W132" s="618">
        <v>2.6398000000000001</v>
      </c>
      <c r="X132" s="618">
        <v>2.2366000000000001</v>
      </c>
      <c r="Y132" s="618">
        <v>1.8334000000000001</v>
      </c>
      <c r="Z132" s="618">
        <v>1.4302000000000001</v>
      </c>
      <c r="AA132" s="618">
        <v>1.0269999999999999</v>
      </c>
      <c r="AB132" s="308"/>
      <c r="AC132" s="309"/>
      <c r="AD132" s="309"/>
      <c r="AE132" s="309"/>
      <c r="AF132" s="309"/>
      <c r="AG132" s="309"/>
      <c r="AH132" s="309"/>
      <c r="AI132" s="309"/>
      <c r="AJ132" s="309"/>
      <c r="AK132" s="309"/>
      <c r="AL132" s="309"/>
      <c r="AM132" s="309"/>
      <c r="AN132" s="309"/>
      <c r="AO132" s="309"/>
      <c r="AP132" s="163"/>
    </row>
    <row r="133" spans="2:42" x14ac:dyDescent="0.3">
      <c r="B133" s="6"/>
      <c r="C133" s="6"/>
      <c r="D133" s="6">
        <f t="shared" si="6"/>
        <v>3</v>
      </c>
      <c r="E133" s="640" t="str">
        <f t="shared" si="11"/>
        <v>Charge MWh</v>
      </c>
      <c r="F133" s="303"/>
      <c r="G133" s="303"/>
      <c r="H133" s="311"/>
      <c r="I133" s="311"/>
      <c r="J133" s="311"/>
      <c r="K133" s="311"/>
      <c r="L133" s="619"/>
      <c r="M133" s="619"/>
      <c r="N133" s="619"/>
      <c r="O133" s="619"/>
      <c r="P133" s="619"/>
      <c r="Q133" s="619"/>
      <c r="R133" s="619"/>
      <c r="S133" s="619"/>
      <c r="T133" s="619"/>
      <c r="U133" s="619"/>
      <c r="V133" s="619"/>
      <c r="W133" s="619"/>
      <c r="X133" s="619"/>
      <c r="Y133" s="619"/>
      <c r="Z133" s="619"/>
      <c r="AA133" s="619"/>
      <c r="AB133" s="311"/>
      <c r="AC133" s="313"/>
      <c r="AD133" s="313"/>
      <c r="AE133" s="313"/>
      <c r="AF133" s="313"/>
      <c r="AG133" s="313"/>
      <c r="AH133" s="313"/>
      <c r="AI133" s="313"/>
      <c r="AJ133" s="313"/>
      <c r="AK133" s="313"/>
      <c r="AL133" s="313"/>
      <c r="AM133" s="313"/>
      <c r="AN133" s="313"/>
      <c r="AO133" s="313"/>
      <c r="AP133" s="163"/>
    </row>
    <row r="134" spans="2:42" x14ac:dyDescent="0.3">
      <c r="B134" s="6"/>
      <c r="C134" s="6"/>
      <c r="D134" s="6">
        <f t="shared" si="6"/>
        <v>3</v>
      </c>
      <c r="E134" s="641" t="str">
        <f t="shared" si="11"/>
        <v>Total ESS Charge MWh</v>
      </c>
      <c r="F134" s="303"/>
      <c r="G134" s="303"/>
      <c r="H134" s="311"/>
      <c r="I134" s="308">
        <v>428.32919641993135</v>
      </c>
      <c r="J134" s="308">
        <v>428.32919641992441</v>
      </c>
      <c r="K134" s="308">
        <v>428.32919641991435</v>
      </c>
      <c r="L134" s="618">
        <v>428.3291964199197</v>
      </c>
      <c r="M134" s="618">
        <v>428.32919641991515</v>
      </c>
      <c r="N134" s="618">
        <v>428.32919641991515</v>
      </c>
      <c r="O134" s="618">
        <v>428.32919641991515</v>
      </c>
      <c r="P134" s="618">
        <v>428.32919641991515</v>
      </c>
      <c r="Q134" s="618">
        <v>428.32919641991515</v>
      </c>
      <c r="R134" s="618">
        <v>424.59899113796058</v>
      </c>
      <c r="S134" s="618">
        <v>424.59899113796058</v>
      </c>
      <c r="T134" s="618">
        <v>424.59899113796058</v>
      </c>
      <c r="U134" s="618">
        <v>424.59899113796058</v>
      </c>
      <c r="V134" s="618">
        <v>424.59899113796058</v>
      </c>
      <c r="W134" s="618">
        <v>428.32919641991356</v>
      </c>
      <c r="X134" s="618">
        <v>428.32919641991356</v>
      </c>
      <c r="Y134" s="618">
        <v>428.32919641991356</v>
      </c>
      <c r="Z134" s="618">
        <v>428.32919641991356</v>
      </c>
      <c r="AA134" s="618">
        <v>428.32919641991356</v>
      </c>
      <c r="AB134" s="308">
        <v>428.32919641991469</v>
      </c>
      <c r="AC134" s="309"/>
      <c r="AD134" s="309"/>
      <c r="AE134" s="309"/>
      <c r="AF134" s="309"/>
      <c r="AG134" s="309"/>
      <c r="AH134" s="309"/>
      <c r="AI134" s="309"/>
      <c r="AJ134" s="309"/>
      <c r="AK134" s="309"/>
      <c r="AL134" s="309"/>
      <c r="AM134" s="309"/>
      <c r="AN134" s="309"/>
      <c r="AO134" s="309"/>
      <c r="AP134" s="163"/>
    </row>
    <row r="135" spans="2:42" x14ac:dyDescent="0.3">
      <c r="B135" s="6"/>
      <c r="C135" s="6"/>
      <c r="D135" s="6">
        <f t="shared" ref="D135:D198" si="12">D95+1</f>
        <v>3</v>
      </c>
      <c r="E135" s="642" t="str">
        <f t="shared" si="11"/>
        <v>Avg Generation Capacity</v>
      </c>
      <c r="F135" s="303"/>
      <c r="G135" s="303"/>
      <c r="H135" s="311"/>
      <c r="I135" s="308">
        <v>0.2470669671310054</v>
      </c>
      <c r="J135" s="308">
        <v>0.13120804518740831</v>
      </c>
      <c r="K135" s="308">
        <v>0.24190819112991083</v>
      </c>
      <c r="L135" s="308">
        <v>0.19279103313159687</v>
      </c>
      <c r="M135" s="308">
        <v>6.1169717039736532E-2</v>
      </c>
      <c r="N135" s="308">
        <v>6.2367385075201745E-2</v>
      </c>
      <c r="O135" s="308">
        <v>6.3565053110666958E-2</v>
      </c>
      <c r="P135" s="308">
        <v>6.4762721146132185E-2</v>
      </c>
      <c r="Q135" s="308">
        <v>6.5960389181597398E-2</v>
      </c>
      <c r="R135" s="308">
        <v>6.7158057217062611E-2</v>
      </c>
      <c r="S135" s="308">
        <v>7.3821114927433054E-2</v>
      </c>
      <c r="T135" s="308">
        <v>8.0484172637803497E-2</v>
      </c>
      <c r="U135" s="308">
        <v>8.7147230348173926E-2</v>
      </c>
      <c r="V135" s="308">
        <v>9.3810288058544369E-2</v>
      </c>
      <c r="W135" s="308">
        <v>0.10047334576891481</v>
      </c>
      <c r="X135" s="308">
        <v>8.9552521958490242E-2</v>
      </c>
      <c r="Y135" s="308">
        <v>7.8631698148065671E-2</v>
      </c>
      <c r="Z135" s="308">
        <v>6.7710874337641086E-2</v>
      </c>
      <c r="AA135" s="308">
        <v>5.6790050527216515E-2</v>
      </c>
      <c r="AB135" s="308">
        <v>4.5869226716791937E-2</v>
      </c>
      <c r="AC135" s="309"/>
      <c r="AD135" s="309"/>
      <c r="AE135" s="309"/>
      <c r="AF135" s="309"/>
      <c r="AG135" s="309"/>
      <c r="AH135" s="309"/>
      <c r="AI135" s="309"/>
      <c r="AJ135" s="309"/>
      <c r="AK135" s="309"/>
      <c r="AL135" s="309"/>
      <c r="AM135" s="309"/>
      <c r="AN135" s="309"/>
      <c r="AO135" s="309"/>
      <c r="AP135" s="163"/>
    </row>
    <row r="136" spans="2:42" x14ac:dyDescent="0.3">
      <c r="B136" s="6"/>
      <c r="C136" s="6"/>
      <c r="D136" s="6">
        <f t="shared" si="12"/>
        <v>3</v>
      </c>
      <c r="E136" s="642" t="str">
        <f t="shared" si="11"/>
        <v>Avg Transmission Capacity</v>
      </c>
      <c r="F136" s="303"/>
      <c r="G136" s="303"/>
      <c r="H136" s="311"/>
      <c r="I136" s="308">
        <v>0.2470669671310054</v>
      </c>
      <c r="J136" s="308">
        <v>0.13120804518740831</v>
      </c>
      <c r="K136" s="308">
        <v>0.24190819112991083</v>
      </c>
      <c r="L136" s="308">
        <v>0.19279103313159687</v>
      </c>
      <c r="M136" s="308">
        <v>6.1169717039736532E-2</v>
      </c>
      <c r="N136" s="308">
        <v>6.2367385075201745E-2</v>
      </c>
      <c r="O136" s="308">
        <v>6.3565053110666958E-2</v>
      </c>
      <c r="P136" s="308">
        <v>6.4762721146132185E-2</v>
      </c>
      <c r="Q136" s="308">
        <v>6.5960389181597398E-2</v>
      </c>
      <c r="R136" s="308">
        <v>6.7158057217062611E-2</v>
      </c>
      <c r="S136" s="308">
        <v>7.3821114927433054E-2</v>
      </c>
      <c r="T136" s="308">
        <v>8.0484172637803497E-2</v>
      </c>
      <c r="U136" s="308">
        <v>8.7147230348173926E-2</v>
      </c>
      <c r="V136" s="308">
        <v>9.3810288058544369E-2</v>
      </c>
      <c r="W136" s="308">
        <v>0.10047334576891481</v>
      </c>
      <c r="X136" s="308">
        <v>8.9552521958490242E-2</v>
      </c>
      <c r="Y136" s="308">
        <v>7.8631698148065671E-2</v>
      </c>
      <c r="Z136" s="308">
        <v>6.7710874337641086E-2</v>
      </c>
      <c r="AA136" s="308">
        <v>5.6790050527216515E-2</v>
      </c>
      <c r="AB136" s="308">
        <v>4.5869226716791937E-2</v>
      </c>
      <c r="AC136" s="309"/>
      <c r="AD136" s="309"/>
      <c r="AE136" s="309"/>
      <c r="AF136" s="309"/>
      <c r="AG136" s="309"/>
      <c r="AH136" s="309"/>
      <c r="AI136" s="309"/>
      <c r="AJ136" s="309"/>
      <c r="AK136" s="309"/>
      <c r="AL136" s="309"/>
      <c r="AM136" s="309"/>
      <c r="AN136" s="309"/>
      <c r="AO136" s="309"/>
      <c r="AP136" s="163"/>
    </row>
    <row r="137" spans="2:42" x14ac:dyDescent="0.3">
      <c r="B137" s="6"/>
      <c r="C137" s="6"/>
      <c r="D137" s="6">
        <f t="shared" si="12"/>
        <v>3</v>
      </c>
      <c r="E137" s="642" t="str">
        <f t="shared" si="11"/>
        <v>Avg Distribution Capacity</v>
      </c>
      <c r="F137" s="303"/>
      <c r="G137" s="303"/>
      <c r="H137" s="311"/>
      <c r="I137" s="308">
        <v>0.74252494017240667</v>
      </c>
      <c r="J137" s="308">
        <v>0.48393445268717777</v>
      </c>
      <c r="K137" s="308">
        <v>0.38405636748926297</v>
      </c>
      <c r="L137" s="618">
        <v>0.4666774421953922</v>
      </c>
      <c r="M137" s="618">
        <v>0.17534967347565755</v>
      </c>
      <c r="N137" s="618">
        <v>0.18883294889262769</v>
      </c>
      <c r="O137" s="618">
        <v>0.20231622430959786</v>
      </c>
      <c r="P137" s="618">
        <v>0.21579949972656801</v>
      </c>
      <c r="Q137" s="618">
        <v>0.22928277514353818</v>
      </c>
      <c r="R137" s="618">
        <v>0.24276605056050832</v>
      </c>
      <c r="S137" s="618">
        <v>0.27432899648877207</v>
      </c>
      <c r="T137" s="618">
        <v>0.30589194241703577</v>
      </c>
      <c r="U137" s="618">
        <v>0.33745488834529952</v>
      </c>
      <c r="V137" s="618">
        <v>0.36901783427356327</v>
      </c>
      <c r="W137" s="618">
        <v>0.40058078020182697</v>
      </c>
      <c r="X137" s="618">
        <v>0.56998775715236671</v>
      </c>
      <c r="Y137" s="618">
        <v>0.73939473410290657</v>
      </c>
      <c r="Z137" s="618">
        <v>0.90880171105344631</v>
      </c>
      <c r="AA137" s="618">
        <v>1.0782086880039861</v>
      </c>
      <c r="AB137" s="308">
        <v>1.2476156649545258</v>
      </c>
      <c r="AC137" s="309"/>
      <c r="AD137" s="309"/>
      <c r="AE137" s="309"/>
      <c r="AF137" s="309"/>
      <c r="AG137" s="309"/>
      <c r="AH137" s="309"/>
      <c r="AI137" s="309"/>
      <c r="AJ137" s="309"/>
      <c r="AK137" s="309"/>
      <c r="AL137" s="309"/>
      <c r="AM137" s="309"/>
      <c r="AN137" s="309"/>
      <c r="AO137" s="309"/>
      <c r="AP137" s="163"/>
    </row>
    <row r="138" spans="2:42" x14ac:dyDescent="0.3">
      <c r="B138" s="6"/>
      <c r="C138" s="6"/>
      <c r="D138" s="6">
        <f t="shared" si="12"/>
        <v>3</v>
      </c>
      <c r="E138" s="642" t="str">
        <f t="shared" si="11"/>
        <v>GHG Impacts</v>
      </c>
      <c r="F138" s="303"/>
      <c r="G138" s="303"/>
      <c r="H138" s="311"/>
      <c r="I138" s="308">
        <v>428.23894391455548</v>
      </c>
      <c r="J138" s="308">
        <v>427.80542075087004</v>
      </c>
      <c r="K138" s="308">
        <v>426.50512028332275</v>
      </c>
      <c r="L138" s="618">
        <v>422.13839605897829</v>
      </c>
      <c r="M138" s="618">
        <v>413.88964926860803</v>
      </c>
      <c r="N138" s="618">
        <v>398.28763504163663</v>
      </c>
      <c r="O138" s="618">
        <v>382.68562081466524</v>
      </c>
      <c r="P138" s="618">
        <v>367.08360658769379</v>
      </c>
      <c r="Q138" s="618">
        <v>351.4815923607224</v>
      </c>
      <c r="R138" s="618">
        <v>335.87957813375101</v>
      </c>
      <c r="S138" s="618">
        <v>319.85189409622467</v>
      </c>
      <c r="T138" s="618">
        <v>303.82421005869833</v>
      </c>
      <c r="U138" s="618">
        <v>287.79652602117199</v>
      </c>
      <c r="V138" s="618">
        <v>271.76884198364564</v>
      </c>
      <c r="W138" s="618">
        <v>255.7411579461193</v>
      </c>
      <c r="X138" s="618">
        <v>241.71761340358006</v>
      </c>
      <c r="Y138" s="618">
        <v>227.69406886104082</v>
      </c>
      <c r="Z138" s="618">
        <v>213.67052431850158</v>
      </c>
      <c r="AA138" s="618">
        <v>199.64697977596231</v>
      </c>
      <c r="AB138" s="308">
        <v>185.62343523342307</v>
      </c>
      <c r="AC138" s="309"/>
      <c r="AD138" s="309"/>
      <c r="AE138" s="309"/>
      <c r="AF138" s="309"/>
      <c r="AG138" s="309"/>
      <c r="AH138" s="309"/>
      <c r="AI138" s="309"/>
      <c r="AJ138" s="309"/>
      <c r="AK138" s="309"/>
      <c r="AL138" s="309"/>
      <c r="AM138" s="309"/>
      <c r="AN138" s="309"/>
      <c r="AO138" s="309"/>
      <c r="AP138" s="163"/>
    </row>
    <row r="139" spans="2:42" x14ac:dyDescent="0.3">
      <c r="B139" s="6"/>
      <c r="C139" s="6"/>
      <c r="D139" s="6">
        <f t="shared" si="12"/>
        <v>3</v>
      </c>
      <c r="E139" s="642" t="str">
        <f t="shared" si="11"/>
        <v>Market Price Effects - Wholesale Energy</v>
      </c>
      <c r="F139" s="303"/>
      <c r="G139" s="303"/>
      <c r="H139" s="311"/>
      <c r="I139" s="308">
        <v>428.32919641993089</v>
      </c>
      <c r="J139" s="308">
        <v>428.32919641992402</v>
      </c>
      <c r="K139" s="308">
        <v>428.3291964199139</v>
      </c>
      <c r="L139" s="618">
        <v>428.3291964199189</v>
      </c>
      <c r="M139" s="618">
        <v>428.3291964199139</v>
      </c>
      <c r="N139" s="618">
        <v>427.58315536352313</v>
      </c>
      <c r="O139" s="618">
        <v>426.83711430713237</v>
      </c>
      <c r="P139" s="618">
        <v>426.0910732507416</v>
      </c>
      <c r="Q139" s="618">
        <v>425.34503219435084</v>
      </c>
      <c r="R139" s="618">
        <v>424.59899113796007</v>
      </c>
      <c r="S139" s="618">
        <v>425.34503219435061</v>
      </c>
      <c r="T139" s="618">
        <v>426.09107325074115</v>
      </c>
      <c r="U139" s="618">
        <v>426.83711430713174</v>
      </c>
      <c r="V139" s="618">
        <v>427.58315536352228</v>
      </c>
      <c r="W139" s="618">
        <v>428.32919641991282</v>
      </c>
      <c r="X139" s="618">
        <v>428.32919641991288</v>
      </c>
      <c r="Y139" s="618">
        <v>428.32919641991293</v>
      </c>
      <c r="Z139" s="618">
        <v>428.32919641991305</v>
      </c>
      <c r="AA139" s="618">
        <v>428.3291964199131</v>
      </c>
      <c r="AB139" s="308">
        <v>428.32919641991316</v>
      </c>
      <c r="AC139" s="309"/>
      <c r="AD139" s="309"/>
      <c r="AE139" s="309"/>
      <c r="AF139" s="309"/>
      <c r="AG139" s="309"/>
      <c r="AH139" s="309"/>
      <c r="AI139" s="309"/>
      <c r="AJ139" s="309"/>
      <c r="AK139" s="309"/>
      <c r="AL139" s="309"/>
      <c r="AM139" s="309"/>
      <c r="AN139" s="309"/>
      <c r="AO139" s="309"/>
      <c r="AP139" s="163"/>
    </row>
    <row r="140" spans="2:42" x14ac:dyDescent="0.3">
      <c r="B140" s="6"/>
      <c r="C140" s="6"/>
      <c r="D140" s="6">
        <f t="shared" si="12"/>
        <v>3</v>
      </c>
      <c r="E140" s="643" t="str">
        <f t="shared" si="11"/>
        <v>Market Price Effects - Wholesale Capacity</v>
      </c>
      <c r="F140" s="303"/>
      <c r="H140" s="459"/>
      <c r="I140" s="308">
        <v>0</v>
      </c>
      <c r="J140" s="308">
        <v>0</v>
      </c>
      <c r="K140" s="308">
        <v>0</v>
      </c>
      <c r="L140" s="618">
        <v>0</v>
      </c>
      <c r="M140" s="618">
        <v>0</v>
      </c>
      <c r="N140" s="618">
        <v>0</v>
      </c>
      <c r="O140" s="618">
        <v>0</v>
      </c>
      <c r="P140" s="618">
        <v>0</v>
      </c>
      <c r="Q140" s="618">
        <v>0</v>
      </c>
      <c r="R140" s="618">
        <v>0</v>
      </c>
      <c r="S140" s="618">
        <v>0</v>
      </c>
      <c r="T140" s="618">
        <v>0</v>
      </c>
      <c r="U140" s="618">
        <v>0</v>
      </c>
      <c r="V140" s="618">
        <v>0</v>
      </c>
      <c r="W140" s="618">
        <v>0</v>
      </c>
      <c r="X140" s="618">
        <v>0</v>
      </c>
      <c r="Y140" s="618">
        <v>0</v>
      </c>
      <c r="Z140" s="618">
        <v>0</v>
      </c>
      <c r="AA140" s="618">
        <v>0</v>
      </c>
      <c r="AB140" s="308"/>
      <c r="AC140" s="309"/>
      <c r="AD140" s="309"/>
      <c r="AE140" s="309"/>
      <c r="AF140" s="309"/>
      <c r="AG140" s="309"/>
      <c r="AH140" s="309"/>
      <c r="AI140" s="309"/>
      <c r="AJ140" s="309"/>
      <c r="AK140" s="309"/>
      <c r="AL140" s="309"/>
      <c r="AM140" s="309"/>
      <c r="AN140" s="309"/>
      <c r="AO140" s="309"/>
      <c r="AP140" s="163"/>
    </row>
    <row r="141" spans="2:42" x14ac:dyDescent="0.3">
      <c r="B141" s="6"/>
      <c r="C141" s="6"/>
      <c r="D141" s="6">
        <f t="shared" si="12"/>
        <v>3</v>
      </c>
      <c r="E141" s="640" t="str">
        <f t="shared" si="11"/>
        <v>Disharge MWh</v>
      </c>
      <c r="H141" s="459"/>
      <c r="I141" s="505"/>
      <c r="J141" s="505"/>
      <c r="K141" s="505"/>
      <c r="L141" s="505"/>
      <c r="M141" s="505"/>
      <c r="N141" s="505"/>
      <c r="O141" s="505"/>
      <c r="P141" s="505"/>
      <c r="Q141" s="505"/>
      <c r="R141" s="505"/>
      <c r="S141" s="505"/>
      <c r="T141" s="505"/>
      <c r="U141" s="505"/>
      <c r="V141" s="505"/>
      <c r="W141" s="505"/>
      <c r="X141" s="505"/>
      <c r="Y141" s="505"/>
      <c r="Z141" s="505"/>
      <c r="AA141" s="505"/>
      <c r="AB141" s="505"/>
      <c r="AC141" s="15"/>
      <c r="AD141" s="15"/>
      <c r="AE141" s="15"/>
      <c r="AF141" s="15"/>
      <c r="AG141" s="15"/>
      <c r="AH141" s="15"/>
      <c r="AI141" s="15"/>
      <c r="AJ141" s="15"/>
      <c r="AK141" s="15"/>
      <c r="AL141" s="15"/>
      <c r="AM141" s="15"/>
      <c r="AN141" s="15"/>
      <c r="AO141" s="15"/>
      <c r="AP141" s="163"/>
    </row>
    <row r="142" spans="2:42" x14ac:dyDescent="0.3">
      <c r="B142" s="6"/>
      <c r="C142" s="6"/>
      <c r="D142" s="6">
        <f t="shared" si="12"/>
        <v>3</v>
      </c>
      <c r="E142" s="641" t="str">
        <f t="shared" si="11"/>
        <v>Total ESS DCharge MWh</v>
      </c>
      <c r="H142" s="459"/>
      <c r="I142" s="308">
        <v>365.00000000000864</v>
      </c>
      <c r="J142" s="308">
        <v>365.00000000000279</v>
      </c>
      <c r="K142" s="308">
        <v>364.9999999999942</v>
      </c>
      <c r="L142" s="618">
        <v>364.99999999999875</v>
      </c>
      <c r="M142" s="618">
        <v>364.99999999999483</v>
      </c>
      <c r="N142" s="618">
        <v>364.99999999999483</v>
      </c>
      <c r="O142" s="618">
        <v>364.99999999999483</v>
      </c>
      <c r="P142" s="618">
        <v>364.99999999999483</v>
      </c>
      <c r="Q142" s="618">
        <v>364.99999999999483</v>
      </c>
      <c r="R142" s="618">
        <v>361.82914974156847</v>
      </c>
      <c r="S142" s="618">
        <v>361.82914974156847</v>
      </c>
      <c r="T142" s="618">
        <v>361.82914974156847</v>
      </c>
      <c r="U142" s="618">
        <v>361.82914974156847</v>
      </c>
      <c r="V142" s="618">
        <v>361.82914974156847</v>
      </c>
      <c r="W142" s="618">
        <v>364.99999999999341</v>
      </c>
      <c r="X142" s="618">
        <v>364.99999999999341</v>
      </c>
      <c r="Y142" s="618">
        <v>364.99999999999341</v>
      </c>
      <c r="Z142" s="618">
        <v>364.99999999999341</v>
      </c>
      <c r="AA142" s="618">
        <v>364.99999999999341</v>
      </c>
      <c r="AB142" s="308">
        <v>364.99999999999454</v>
      </c>
      <c r="AC142" s="309"/>
      <c r="AD142" s="309"/>
      <c r="AE142" s="309"/>
      <c r="AF142" s="309"/>
      <c r="AG142" s="309"/>
      <c r="AH142" s="309"/>
      <c r="AI142" s="309"/>
      <c r="AJ142" s="309"/>
      <c r="AK142" s="309"/>
      <c r="AL142" s="309"/>
      <c r="AM142" s="309"/>
      <c r="AN142" s="309"/>
      <c r="AO142" s="309"/>
      <c r="AP142" s="163"/>
    </row>
    <row r="143" spans="2:42" x14ac:dyDescent="0.3">
      <c r="B143" s="6"/>
      <c r="C143" s="6"/>
      <c r="D143" s="6">
        <f t="shared" si="12"/>
        <v>3</v>
      </c>
      <c r="E143" s="642" t="str">
        <f t="shared" si="11"/>
        <v>Avg Generation Capacity</v>
      </c>
      <c r="F143" s="303"/>
      <c r="H143" s="459"/>
      <c r="I143" s="308">
        <v>13.450121630391905</v>
      </c>
      <c r="J143" s="308">
        <v>12.522486586140499</v>
      </c>
      <c r="K143" s="308">
        <v>15.578712013199787</v>
      </c>
      <c r="L143" s="618">
        <v>15.453865467681204</v>
      </c>
      <c r="M143" s="618">
        <v>17.094879403882999</v>
      </c>
      <c r="N143" s="618">
        <v>18.100908324047825</v>
      </c>
      <c r="O143" s="618">
        <v>19.106937244212652</v>
      </c>
      <c r="P143" s="618">
        <v>20.112966164377482</v>
      </c>
      <c r="Q143" s="618">
        <v>21.118995084542309</v>
      </c>
      <c r="R143" s="618">
        <v>22.125024004707136</v>
      </c>
      <c r="S143" s="618">
        <v>22.110035672028914</v>
      </c>
      <c r="T143" s="618">
        <v>22.095047339350693</v>
      </c>
      <c r="U143" s="618">
        <v>22.080059006672474</v>
      </c>
      <c r="V143" s="618">
        <v>22.065070673994253</v>
      </c>
      <c r="W143" s="618">
        <v>22.050082341316031</v>
      </c>
      <c r="X143" s="618">
        <v>21.643138532425187</v>
      </c>
      <c r="Y143" s="618">
        <v>21.236194723534343</v>
      </c>
      <c r="Z143" s="618">
        <v>20.829250914643495</v>
      </c>
      <c r="AA143" s="618">
        <v>20.422307105752651</v>
      </c>
      <c r="AB143" s="308">
        <v>20.015363296861807</v>
      </c>
      <c r="AC143" s="309"/>
      <c r="AD143" s="309"/>
      <c r="AE143" s="309"/>
      <c r="AF143" s="309"/>
      <c r="AG143" s="309"/>
      <c r="AH143" s="309"/>
      <c r="AI143" s="309"/>
      <c r="AJ143" s="309"/>
      <c r="AK143" s="309"/>
      <c r="AL143" s="309"/>
      <c r="AM143" s="309"/>
      <c r="AN143" s="309"/>
      <c r="AO143" s="309"/>
      <c r="AP143" s="163"/>
    </row>
    <row r="144" spans="2:42" x14ac:dyDescent="0.3">
      <c r="B144" s="6"/>
      <c r="C144" s="6"/>
      <c r="D144" s="6">
        <f t="shared" si="12"/>
        <v>3</v>
      </c>
      <c r="E144" s="642" t="str">
        <f t="shared" si="11"/>
        <v>Avg Transmission Capacity</v>
      </c>
      <c r="F144" s="303"/>
      <c r="H144" s="459"/>
      <c r="I144" s="308">
        <v>13.450121630391905</v>
      </c>
      <c r="J144" s="308">
        <v>12.522486586140499</v>
      </c>
      <c r="K144" s="308">
        <v>15.578712013199787</v>
      </c>
      <c r="L144" s="618">
        <v>15.453865467681204</v>
      </c>
      <c r="M144" s="618">
        <v>17.094879403882999</v>
      </c>
      <c r="N144" s="618">
        <v>18.100908324047825</v>
      </c>
      <c r="O144" s="618">
        <v>19.106937244212652</v>
      </c>
      <c r="P144" s="618">
        <v>20.112966164377482</v>
      </c>
      <c r="Q144" s="618">
        <v>21.118995084542309</v>
      </c>
      <c r="R144" s="618">
        <v>22.125024004707136</v>
      </c>
      <c r="S144" s="618">
        <v>22.110035672028914</v>
      </c>
      <c r="T144" s="618">
        <v>22.095047339350693</v>
      </c>
      <c r="U144" s="618">
        <v>22.080059006672474</v>
      </c>
      <c r="V144" s="618">
        <v>22.065070673994253</v>
      </c>
      <c r="W144" s="618">
        <v>22.050082341316031</v>
      </c>
      <c r="X144" s="618">
        <v>21.643138532425187</v>
      </c>
      <c r="Y144" s="618">
        <v>21.236194723534343</v>
      </c>
      <c r="Z144" s="618">
        <v>20.829250914643495</v>
      </c>
      <c r="AA144" s="618">
        <v>20.422307105752651</v>
      </c>
      <c r="AB144" s="308">
        <v>20.015363296861807</v>
      </c>
      <c r="AC144" s="309"/>
      <c r="AD144" s="309"/>
      <c r="AE144" s="309"/>
      <c r="AF144" s="309"/>
      <c r="AG144" s="309"/>
      <c r="AH144" s="309"/>
      <c r="AI144" s="309"/>
      <c r="AJ144" s="309"/>
      <c r="AK144" s="309"/>
      <c r="AL144" s="309"/>
      <c r="AM144" s="309"/>
      <c r="AN144" s="309"/>
      <c r="AO144" s="309"/>
      <c r="AP144" s="163"/>
    </row>
    <row r="145" spans="2:42" x14ac:dyDescent="0.3">
      <c r="B145" s="6"/>
      <c r="C145" s="6"/>
      <c r="D145" s="6">
        <f t="shared" si="12"/>
        <v>3</v>
      </c>
      <c r="E145" s="642" t="str">
        <f t="shared" si="11"/>
        <v>Avg Distribution Capacity</v>
      </c>
      <c r="F145" s="303"/>
      <c r="H145" s="459"/>
      <c r="I145" s="308">
        <v>8.0189485325068954</v>
      </c>
      <c r="J145" s="308">
        <v>8.6316435492655028</v>
      </c>
      <c r="K145" s="308">
        <v>11.977427783081568</v>
      </c>
      <c r="L145" s="618">
        <v>11.862423026203404</v>
      </c>
      <c r="M145" s="618">
        <v>13.75545920054995</v>
      </c>
      <c r="N145" s="618">
        <v>14.695482409237048</v>
      </c>
      <c r="O145" s="618">
        <v>15.635505617924146</v>
      </c>
      <c r="P145" s="618">
        <v>16.575528826611244</v>
      </c>
      <c r="Q145" s="618">
        <v>17.515552035298342</v>
      </c>
      <c r="R145" s="618">
        <v>18.455575243985439</v>
      </c>
      <c r="S145" s="618">
        <v>18.329827878738563</v>
      </c>
      <c r="T145" s="618">
        <v>18.204080513491686</v>
      </c>
      <c r="U145" s="618">
        <v>18.078333148244809</v>
      </c>
      <c r="V145" s="618">
        <v>17.952585782997932</v>
      </c>
      <c r="W145" s="618">
        <v>17.826838417751055</v>
      </c>
      <c r="X145" s="618">
        <v>17.39763298168765</v>
      </c>
      <c r="Y145" s="618">
        <v>16.968427545624245</v>
      </c>
      <c r="Z145" s="618">
        <v>16.539222109560839</v>
      </c>
      <c r="AA145" s="618">
        <v>16.110016673497434</v>
      </c>
      <c r="AB145" s="308">
        <v>15.680811237434028</v>
      </c>
      <c r="AC145" s="309"/>
      <c r="AD145" s="309"/>
      <c r="AE145" s="309"/>
      <c r="AF145" s="309"/>
      <c r="AG145" s="309"/>
      <c r="AH145" s="309"/>
      <c r="AI145" s="309"/>
      <c r="AJ145" s="309"/>
      <c r="AK145" s="309"/>
      <c r="AL145" s="309"/>
      <c r="AM145" s="309"/>
      <c r="AN145" s="309"/>
      <c r="AO145" s="309"/>
      <c r="AP145" s="163"/>
    </row>
    <row r="146" spans="2:42" x14ac:dyDescent="0.3">
      <c r="B146" s="6"/>
      <c r="C146" s="6"/>
      <c r="D146" s="6">
        <f t="shared" si="12"/>
        <v>3</v>
      </c>
      <c r="E146" s="642" t="str">
        <f t="shared" si="11"/>
        <v>GHG Impacts</v>
      </c>
      <c r="F146" s="303"/>
      <c r="H146" s="459"/>
      <c r="I146" s="308">
        <v>364.96395323328807</v>
      </c>
      <c r="J146" s="308">
        <v>364.95723951137154</v>
      </c>
      <c r="K146" s="308">
        <v>364.57184226904934</v>
      </c>
      <c r="L146" s="618">
        <v>363.65395384893895</v>
      </c>
      <c r="M146" s="618">
        <v>361.30499548353879</v>
      </c>
      <c r="N146" s="618">
        <v>357.09826940631922</v>
      </c>
      <c r="O146" s="618">
        <v>352.89154332909965</v>
      </c>
      <c r="P146" s="618">
        <v>348.68481725188013</v>
      </c>
      <c r="Q146" s="618">
        <v>344.47809117466056</v>
      </c>
      <c r="R146" s="618">
        <v>340.27136509744099</v>
      </c>
      <c r="S146" s="618">
        <v>337.81759484787273</v>
      </c>
      <c r="T146" s="618">
        <v>335.36382459830452</v>
      </c>
      <c r="U146" s="618">
        <v>332.91005434873625</v>
      </c>
      <c r="V146" s="618">
        <v>330.45628409916804</v>
      </c>
      <c r="W146" s="618">
        <v>328.00251384959978</v>
      </c>
      <c r="X146" s="618">
        <v>323.77605327221812</v>
      </c>
      <c r="Y146" s="618">
        <v>319.54959269483646</v>
      </c>
      <c r="Z146" s="618">
        <v>315.32313211745475</v>
      </c>
      <c r="AA146" s="618">
        <v>311.09667154007309</v>
      </c>
      <c r="AB146" s="308">
        <v>306.87021096269143</v>
      </c>
      <c r="AC146" s="309"/>
      <c r="AD146" s="309"/>
      <c r="AE146" s="309"/>
      <c r="AF146" s="309"/>
      <c r="AG146" s="309"/>
      <c r="AH146" s="309"/>
      <c r="AI146" s="309"/>
      <c r="AJ146" s="309"/>
      <c r="AK146" s="309"/>
      <c r="AL146" s="309"/>
      <c r="AM146" s="309"/>
      <c r="AN146" s="309"/>
      <c r="AO146" s="309"/>
      <c r="AP146" s="163"/>
    </row>
    <row r="147" spans="2:42" x14ac:dyDescent="0.3">
      <c r="B147" s="6"/>
      <c r="C147" s="6"/>
      <c r="D147" s="6">
        <f t="shared" si="12"/>
        <v>3</v>
      </c>
      <c r="E147" s="642" t="str">
        <f t="shared" si="11"/>
        <v>Market Price Effects - Wholesale Energy</v>
      </c>
      <c r="F147" s="303"/>
      <c r="H147" s="459"/>
      <c r="I147" s="308">
        <v>365.00000000000585</v>
      </c>
      <c r="J147" s="308">
        <v>365.00000000000648</v>
      </c>
      <c r="K147" s="308">
        <v>364.9999999999946</v>
      </c>
      <c r="L147" s="618">
        <v>365.00000000000074</v>
      </c>
      <c r="M147" s="618">
        <v>364.9999999999917</v>
      </c>
      <c r="N147" s="618">
        <v>364.36582994830718</v>
      </c>
      <c r="O147" s="618">
        <v>363.73165989662266</v>
      </c>
      <c r="P147" s="618">
        <v>363.09748984493808</v>
      </c>
      <c r="Q147" s="618">
        <v>362.46331979325356</v>
      </c>
      <c r="R147" s="618">
        <v>361.82914974156904</v>
      </c>
      <c r="S147" s="618">
        <v>362.46331979325402</v>
      </c>
      <c r="T147" s="618">
        <v>363.09748984493893</v>
      </c>
      <c r="U147" s="618">
        <v>363.73165989662391</v>
      </c>
      <c r="V147" s="618">
        <v>364.36582994830883</v>
      </c>
      <c r="W147" s="618">
        <v>364.9999999999938</v>
      </c>
      <c r="X147" s="618">
        <v>364.99999999999386</v>
      </c>
      <c r="Y147" s="618">
        <v>364.99999999999386</v>
      </c>
      <c r="Z147" s="618">
        <v>364.99999999999392</v>
      </c>
      <c r="AA147" s="618">
        <v>364.99999999999392</v>
      </c>
      <c r="AB147" s="308">
        <v>364.99999999999397</v>
      </c>
      <c r="AC147" s="309"/>
      <c r="AD147" s="309"/>
      <c r="AE147" s="309"/>
      <c r="AF147" s="309"/>
      <c r="AG147" s="309"/>
      <c r="AH147" s="309"/>
      <c r="AI147" s="309"/>
      <c r="AJ147" s="309"/>
      <c r="AK147" s="309"/>
      <c r="AL147" s="309"/>
      <c r="AM147" s="309"/>
      <c r="AN147" s="309"/>
      <c r="AO147" s="309"/>
      <c r="AP147" s="163"/>
    </row>
    <row r="148" spans="2:42" x14ac:dyDescent="0.3">
      <c r="B148" s="6"/>
      <c r="C148" s="6"/>
      <c r="D148" s="6">
        <f t="shared" si="12"/>
        <v>3</v>
      </c>
      <c r="E148" s="642" t="str">
        <f t="shared" si="11"/>
        <v>Market Price Effects - Wholesale Capacity</v>
      </c>
      <c r="F148" s="303"/>
      <c r="H148" s="459"/>
      <c r="I148" s="308">
        <v>0</v>
      </c>
      <c r="J148" s="308">
        <v>0</v>
      </c>
      <c r="K148" s="308">
        <v>0</v>
      </c>
      <c r="L148" s="618">
        <v>0</v>
      </c>
      <c r="M148" s="618">
        <v>0</v>
      </c>
      <c r="N148" s="618">
        <v>0</v>
      </c>
      <c r="O148" s="618">
        <v>0</v>
      </c>
      <c r="P148" s="618">
        <v>0</v>
      </c>
      <c r="Q148" s="618">
        <v>0</v>
      </c>
      <c r="R148" s="618">
        <v>0</v>
      </c>
      <c r="S148" s="618">
        <v>0</v>
      </c>
      <c r="T148" s="618">
        <v>0</v>
      </c>
      <c r="U148" s="618">
        <v>0</v>
      </c>
      <c r="V148" s="618">
        <v>0</v>
      </c>
      <c r="W148" s="618">
        <v>0</v>
      </c>
      <c r="X148" s="618">
        <v>0</v>
      </c>
      <c r="Y148" s="618">
        <v>0</v>
      </c>
      <c r="Z148" s="618">
        <v>0</v>
      </c>
      <c r="AA148" s="618">
        <v>0</v>
      </c>
      <c r="AB148" s="308">
        <v>0</v>
      </c>
      <c r="AC148" s="309"/>
      <c r="AD148" s="309"/>
      <c r="AE148" s="309"/>
      <c r="AF148" s="309"/>
      <c r="AG148" s="309"/>
      <c r="AH148" s="309"/>
      <c r="AI148" s="309"/>
      <c r="AJ148" s="309"/>
      <c r="AK148" s="309"/>
      <c r="AL148" s="309"/>
      <c r="AM148" s="309"/>
      <c r="AN148" s="309"/>
      <c r="AO148" s="309"/>
      <c r="AP148" s="163"/>
    </row>
    <row r="149" spans="2:42" x14ac:dyDescent="0.3">
      <c r="B149" s="6"/>
      <c r="C149" s="6"/>
      <c r="D149" s="6">
        <f t="shared" si="12"/>
        <v>3</v>
      </c>
      <c r="E149" s="544"/>
      <c r="F149" s="545"/>
      <c r="G149" s="545"/>
      <c r="H149" s="545"/>
      <c r="I149" s="545"/>
      <c r="J149" s="545"/>
      <c r="K149" s="545"/>
      <c r="L149" s="545"/>
      <c r="M149" s="545"/>
      <c r="N149" s="545"/>
      <c r="O149" s="545"/>
      <c r="P149" s="545"/>
      <c r="Q149" s="545"/>
      <c r="R149" s="545"/>
      <c r="S149" s="545"/>
      <c r="T149" s="545"/>
      <c r="U149" s="545"/>
      <c r="V149" s="545"/>
      <c r="W149" s="545"/>
      <c r="X149" s="545"/>
      <c r="Y149" s="545"/>
      <c r="Z149" s="545"/>
      <c r="AA149" s="545"/>
      <c r="AB149" s="545"/>
      <c r="AC149" s="545"/>
      <c r="AD149" s="545"/>
      <c r="AE149" s="545"/>
      <c r="AF149" s="545"/>
      <c r="AG149" s="545"/>
      <c r="AH149" s="545"/>
      <c r="AI149" s="545"/>
      <c r="AJ149" s="545"/>
      <c r="AK149" s="545"/>
      <c r="AL149" s="545"/>
      <c r="AM149" s="545"/>
      <c r="AN149" s="545"/>
      <c r="AO149" s="545"/>
      <c r="AP149" s="543"/>
    </row>
    <row r="150" spans="2:42" ht="21" x14ac:dyDescent="0.4">
      <c r="B150" s="6"/>
      <c r="C150" s="6"/>
      <c r="D150" s="6">
        <f t="shared" si="12"/>
        <v>4</v>
      </c>
      <c r="E150" s="632" t="str">
        <f>_xlfn.CONCAT(revenueSimulationID," ",$D150,"|",INDEX(StdConfigDesc,$D150,$E$29))</f>
        <v>Case 4|C&amp;I - Small (0.5 MW/2 MWh)</v>
      </c>
      <c r="F150" s="633"/>
      <c r="G150" s="633"/>
      <c r="H150" s="633"/>
      <c r="I150" s="633"/>
      <c r="J150" s="633"/>
      <c r="K150" s="633"/>
      <c r="L150" s="633"/>
      <c r="M150" s="633"/>
      <c r="N150" s="633"/>
      <c r="O150" s="633"/>
      <c r="P150" s="633"/>
      <c r="Q150" s="633"/>
      <c r="R150" s="633"/>
      <c r="S150" s="633"/>
      <c r="T150" s="633"/>
      <c r="U150" s="633"/>
      <c r="V150" s="633"/>
      <c r="W150" s="633"/>
      <c r="X150" s="633"/>
      <c r="Y150" s="633"/>
      <c r="Z150" s="633"/>
      <c r="AA150" s="633"/>
      <c r="AB150" s="633"/>
      <c r="AC150" s="633"/>
      <c r="AD150" s="633"/>
      <c r="AE150" s="633"/>
      <c r="AF150" s="633"/>
      <c r="AG150" s="633"/>
      <c r="AH150" s="633"/>
      <c r="AI150" s="633"/>
      <c r="AJ150" s="633"/>
      <c r="AK150" s="633"/>
      <c r="AL150" s="633"/>
      <c r="AM150" s="633"/>
      <c r="AN150" s="633"/>
      <c r="AO150" s="633"/>
      <c r="AP150" s="634"/>
    </row>
    <row r="151" spans="2:42" ht="25.8" x14ac:dyDescent="0.5">
      <c r="B151" s="6"/>
      <c r="C151" s="6"/>
      <c r="D151" s="6">
        <f t="shared" si="12"/>
        <v>4</v>
      </c>
      <c r="E151" s="635"/>
      <c r="F151" s="2">
        <v>2025</v>
      </c>
      <c r="G151" s="2">
        <f>F151+1</f>
        <v>2026</v>
      </c>
      <c r="H151" s="2">
        <f t="shared" ref="H151:AO151" si="13">G151+1</f>
        <v>2027</v>
      </c>
      <c r="I151" s="2">
        <f t="shared" si="13"/>
        <v>2028</v>
      </c>
      <c r="J151" s="2">
        <f t="shared" si="13"/>
        <v>2029</v>
      </c>
      <c r="K151" s="2">
        <f t="shared" si="13"/>
        <v>2030</v>
      </c>
      <c r="L151" s="2">
        <f t="shared" si="13"/>
        <v>2031</v>
      </c>
      <c r="M151" s="2">
        <f t="shared" si="13"/>
        <v>2032</v>
      </c>
      <c r="N151" s="2">
        <f t="shared" si="13"/>
        <v>2033</v>
      </c>
      <c r="O151" s="2">
        <f t="shared" si="13"/>
        <v>2034</v>
      </c>
      <c r="P151" s="2">
        <f t="shared" si="13"/>
        <v>2035</v>
      </c>
      <c r="Q151" s="2">
        <f t="shared" si="13"/>
        <v>2036</v>
      </c>
      <c r="R151" s="2">
        <f t="shared" si="13"/>
        <v>2037</v>
      </c>
      <c r="S151" s="2">
        <f t="shared" si="13"/>
        <v>2038</v>
      </c>
      <c r="T151" s="2">
        <f t="shared" si="13"/>
        <v>2039</v>
      </c>
      <c r="U151" s="2">
        <f t="shared" si="13"/>
        <v>2040</v>
      </c>
      <c r="V151" s="2">
        <f t="shared" si="13"/>
        <v>2041</v>
      </c>
      <c r="W151" s="2">
        <f t="shared" si="13"/>
        <v>2042</v>
      </c>
      <c r="X151" s="2">
        <f t="shared" si="13"/>
        <v>2043</v>
      </c>
      <c r="Y151" s="2">
        <f t="shared" si="13"/>
        <v>2044</v>
      </c>
      <c r="Z151" s="2">
        <f t="shared" si="13"/>
        <v>2045</v>
      </c>
      <c r="AA151" s="2">
        <f t="shared" si="13"/>
        <v>2046</v>
      </c>
      <c r="AB151" s="2">
        <f t="shared" si="13"/>
        <v>2047</v>
      </c>
      <c r="AC151" s="2">
        <f t="shared" si="13"/>
        <v>2048</v>
      </c>
      <c r="AD151" s="2">
        <f t="shared" si="13"/>
        <v>2049</v>
      </c>
      <c r="AE151" s="2">
        <f t="shared" si="13"/>
        <v>2050</v>
      </c>
      <c r="AF151" s="2">
        <f t="shared" si="13"/>
        <v>2051</v>
      </c>
      <c r="AG151" s="2">
        <f t="shared" si="13"/>
        <v>2052</v>
      </c>
      <c r="AH151" s="2">
        <f t="shared" si="13"/>
        <v>2053</v>
      </c>
      <c r="AI151" s="2">
        <f t="shared" si="13"/>
        <v>2054</v>
      </c>
      <c r="AJ151" s="2">
        <f t="shared" si="13"/>
        <v>2055</v>
      </c>
      <c r="AK151" s="2">
        <f t="shared" si="13"/>
        <v>2056</v>
      </c>
      <c r="AL151" s="2">
        <f t="shared" si="13"/>
        <v>2057</v>
      </c>
      <c r="AM151" s="2">
        <f t="shared" si="13"/>
        <v>2058</v>
      </c>
      <c r="AN151" s="2">
        <f t="shared" si="13"/>
        <v>2059</v>
      </c>
      <c r="AO151" s="2">
        <f t="shared" si="13"/>
        <v>2060</v>
      </c>
      <c r="AP151" s="163"/>
    </row>
    <row r="152" spans="2:42" x14ac:dyDescent="0.3">
      <c r="B152" s="6"/>
      <c r="C152" s="6"/>
      <c r="D152" s="6">
        <f t="shared" si="12"/>
        <v>4</v>
      </c>
      <c r="E152" s="636" t="str">
        <f>E112</f>
        <v>Capacity - PJM Market</v>
      </c>
      <c r="F152" s="302"/>
      <c r="G152" s="302"/>
      <c r="H152" s="302"/>
      <c r="I152" s="302">
        <v>0</v>
      </c>
      <c r="J152" s="302">
        <v>0</v>
      </c>
      <c r="K152" s="302">
        <v>0</v>
      </c>
      <c r="L152" s="302">
        <v>0</v>
      </c>
      <c r="M152" s="302">
        <v>0</v>
      </c>
      <c r="N152" s="302">
        <v>0</v>
      </c>
      <c r="O152" s="302">
        <v>0</v>
      </c>
      <c r="P152" s="302">
        <v>0</v>
      </c>
      <c r="Q152" s="302">
        <v>0</v>
      </c>
      <c r="R152" s="302">
        <v>0</v>
      </c>
      <c r="S152" s="302">
        <v>0</v>
      </c>
      <c r="T152" s="302">
        <v>0</v>
      </c>
      <c r="U152" s="302">
        <v>0</v>
      </c>
      <c r="V152" s="302">
        <v>0</v>
      </c>
      <c r="W152" s="302">
        <v>0</v>
      </c>
      <c r="X152" s="302">
        <v>0</v>
      </c>
      <c r="Y152" s="302">
        <v>0</v>
      </c>
      <c r="Z152" s="302">
        <v>0</v>
      </c>
      <c r="AA152" s="302">
        <v>0</v>
      </c>
      <c r="AB152" s="302">
        <v>0</v>
      </c>
      <c r="AC152" s="302">
        <v>0</v>
      </c>
      <c r="AD152" s="302">
        <v>0</v>
      </c>
      <c r="AE152" s="302">
        <v>0</v>
      </c>
      <c r="AF152" s="302">
        <v>0</v>
      </c>
      <c r="AG152" s="302">
        <v>0</v>
      </c>
      <c r="AH152" s="302">
        <v>0</v>
      </c>
      <c r="AI152" s="302">
        <v>0</v>
      </c>
      <c r="AJ152" s="302">
        <v>0</v>
      </c>
      <c r="AK152" s="302">
        <v>0</v>
      </c>
      <c r="AL152" s="302">
        <v>0</v>
      </c>
      <c r="AM152" s="302">
        <v>0</v>
      </c>
      <c r="AN152" s="302">
        <v>0</v>
      </c>
      <c r="AO152" s="302">
        <v>0</v>
      </c>
      <c r="AP152" s="163"/>
    </row>
    <row r="153" spans="2:42" x14ac:dyDescent="0.3">
      <c r="B153" s="6"/>
      <c r="C153" s="6"/>
      <c r="D153" s="6">
        <f t="shared" si="12"/>
        <v>4</v>
      </c>
      <c r="E153" s="636" t="str">
        <f t="shared" ref="E153:E188" si="14">E113</f>
        <v>Energy Arbitrage - PJM Market</v>
      </c>
      <c r="F153" s="303"/>
      <c r="G153" s="304"/>
      <c r="H153" s="304"/>
      <c r="I153" s="304">
        <v>0</v>
      </c>
      <c r="J153" s="304">
        <v>0</v>
      </c>
      <c r="K153" s="304">
        <v>0</v>
      </c>
      <c r="L153" s="304">
        <v>0</v>
      </c>
      <c r="M153" s="304">
        <v>0</v>
      </c>
      <c r="N153" s="304">
        <v>0</v>
      </c>
      <c r="O153" s="304">
        <v>0</v>
      </c>
      <c r="P153" s="304">
        <v>0</v>
      </c>
      <c r="Q153" s="304">
        <v>0</v>
      </c>
      <c r="R153" s="304">
        <v>0</v>
      </c>
      <c r="S153" s="304">
        <v>0</v>
      </c>
      <c r="T153" s="304">
        <v>0</v>
      </c>
      <c r="U153" s="304">
        <v>0</v>
      </c>
      <c r="V153" s="304">
        <v>0</v>
      </c>
      <c r="W153" s="304">
        <v>0</v>
      </c>
      <c r="X153" s="304">
        <v>0</v>
      </c>
      <c r="Y153" s="304">
        <v>0</v>
      </c>
      <c r="Z153" s="304">
        <v>0</v>
      </c>
      <c r="AA153" s="304">
        <v>0</v>
      </c>
      <c r="AB153" s="304">
        <v>0</v>
      </c>
      <c r="AC153" s="304"/>
      <c r="AD153" s="304"/>
      <c r="AE153" s="304"/>
      <c r="AF153" s="304"/>
      <c r="AG153" s="304"/>
      <c r="AH153" s="304"/>
      <c r="AI153" s="304"/>
      <c r="AJ153" s="304"/>
      <c r="AK153" s="304"/>
      <c r="AL153" s="304"/>
      <c r="AM153" s="304"/>
      <c r="AN153" s="304"/>
      <c r="AO153" s="304"/>
      <c r="AP153" s="163"/>
    </row>
    <row r="154" spans="2:42" x14ac:dyDescent="0.3">
      <c r="B154" s="6"/>
      <c r="C154" s="6"/>
      <c r="D154" s="6">
        <f t="shared" si="12"/>
        <v>4</v>
      </c>
      <c r="E154" s="636" t="str">
        <f t="shared" si="14"/>
        <v>Spin- PJM Market</v>
      </c>
      <c r="F154" s="303"/>
      <c r="G154" s="304"/>
      <c r="H154" s="304"/>
      <c r="I154" s="304">
        <v>5804.964479907464</v>
      </c>
      <c r="J154" s="304">
        <v>5521.8842137976635</v>
      </c>
      <c r="K154" s="304">
        <v>5732.9526054675853</v>
      </c>
      <c r="L154" s="304">
        <v>5367.1459580463488</v>
      </c>
      <c r="M154" s="304">
        <v>5147.6816978956476</v>
      </c>
      <c r="N154" s="304">
        <v>5268.6519689868155</v>
      </c>
      <c r="O154" s="304">
        <v>5389.6222400779843</v>
      </c>
      <c r="P154" s="304">
        <v>5510.5925111691522</v>
      </c>
      <c r="Q154" s="304">
        <v>5631.562782260321</v>
      </c>
      <c r="R154" s="304">
        <v>5752.5330533514889</v>
      </c>
      <c r="S154" s="304">
        <v>6067.2547117326003</v>
      </c>
      <c r="T154" s="304">
        <v>6381.9763701137126</v>
      </c>
      <c r="U154" s="304">
        <v>6696.698028494824</v>
      </c>
      <c r="V154" s="304">
        <v>7011.4196868759354</v>
      </c>
      <c r="W154" s="304">
        <v>7326.1413452570478</v>
      </c>
      <c r="X154" s="304">
        <v>7663.7365769774651</v>
      </c>
      <c r="Y154" s="304">
        <v>8001.3318086978825</v>
      </c>
      <c r="Z154" s="304">
        <v>8338.9270404183007</v>
      </c>
      <c r="AA154" s="304">
        <v>8676.5222721387181</v>
      </c>
      <c r="AB154" s="304">
        <v>9014.1175038591355</v>
      </c>
      <c r="AC154" s="304"/>
      <c r="AD154" s="304"/>
      <c r="AE154" s="304"/>
      <c r="AF154" s="304"/>
      <c r="AG154" s="304"/>
      <c r="AH154" s="304"/>
      <c r="AI154" s="304"/>
      <c r="AJ154" s="304"/>
      <c r="AK154" s="304"/>
      <c r="AL154" s="304"/>
      <c r="AM154" s="304"/>
      <c r="AN154" s="304"/>
      <c r="AO154" s="304"/>
      <c r="AP154" s="163"/>
    </row>
    <row r="155" spans="2:42" x14ac:dyDescent="0.3">
      <c r="B155" s="6"/>
      <c r="C155" s="6"/>
      <c r="D155" s="6">
        <f t="shared" si="12"/>
        <v>4</v>
      </c>
      <c r="E155" s="636" t="str">
        <f t="shared" si="14"/>
        <v>Non-Spin - PJM Market</v>
      </c>
      <c r="F155" s="303"/>
      <c r="G155" s="304"/>
      <c r="H155" s="304"/>
      <c r="I155" s="304">
        <v>0</v>
      </c>
      <c r="J155" s="304">
        <v>0</v>
      </c>
      <c r="K155" s="304">
        <v>0</v>
      </c>
      <c r="L155" s="304">
        <v>0</v>
      </c>
      <c r="M155" s="304">
        <v>0</v>
      </c>
      <c r="N155" s="304">
        <v>0</v>
      </c>
      <c r="O155" s="304">
        <v>0</v>
      </c>
      <c r="P155" s="304">
        <v>0</v>
      </c>
      <c r="Q155" s="304">
        <v>0</v>
      </c>
      <c r="R155" s="304">
        <v>0</v>
      </c>
      <c r="S155" s="304">
        <v>0</v>
      </c>
      <c r="T155" s="304">
        <v>0</v>
      </c>
      <c r="U155" s="304">
        <v>0</v>
      </c>
      <c r="V155" s="304">
        <v>0</v>
      </c>
      <c r="W155" s="304">
        <v>0</v>
      </c>
      <c r="X155" s="304">
        <v>0</v>
      </c>
      <c r="Y155" s="304">
        <v>0</v>
      </c>
      <c r="Z155" s="304">
        <v>0</v>
      </c>
      <c r="AA155" s="304">
        <v>0</v>
      </c>
      <c r="AB155" s="304">
        <v>0</v>
      </c>
      <c r="AC155" s="304"/>
      <c r="AD155" s="304"/>
      <c r="AE155" s="304"/>
      <c r="AF155" s="304"/>
      <c r="AG155" s="304"/>
      <c r="AH155" s="304"/>
      <c r="AI155" s="304"/>
      <c r="AJ155" s="304"/>
      <c r="AK155" s="304"/>
      <c r="AL155" s="304"/>
      <c r="AM155" s="304"/>
      <c r="AN155" s="304"/>
      <c r="AO155" s="304"/>
      <c r="AP155" s="163"/>
    </row>
    <row r="156" spans="2:42" x14ac:dyDescent="0.3">
      <c r="B156" s="6"/>
      <c r="C156" s="6"/>
      <c r="D156" s="6">
        <f t="shared" si="12"/>
        <v>4</v>
      </c>
      <c r="E156" s="636" t="str">
        <f t="shared" si="14"/>
        <v>Regulation - PJM Market</v>
      </c>
      <c r="F156" s="303"/>
      <c r="G156" s="304"/>
      <c r="H156" s="304"/>
      <c r="I156" s="304">
        <v>69046.831355469374</v>
      </c>
      <c r="J156" s="304">
        <v>43078.882337575902</v>
      </c>
      <c r="K156" s="304">
        <v>28587.356110055047</v>
      </c>
      <c r="L156" s="304">
        <v>21464.272091312865</v>
      </c>
      <c r="M156" s="304">
        <v>15381.081908214053</v>
      </c>
      <c r="N156" s="304">
        <v>13725.673620531026</v>
      </c>
      <c r="O156" s="304">
        <v>12070.265332847997</v>
      </c>
      <c r="P156" s="304">
        <v>10414.85704516497</v>
      </c>
      <c r="Q156" s="304">
        <v>8759.4487574819432</v>
      </c>
      <c r="R156" s="304">
        <v>7104.040469798917</v>
      </c>
      <c r="S156" s="304">
        <v>7393.5946729025436</v>
      </c>
      <c r="T156" s="304">
        <v>7683.1488760061702</v>
      </c>
      <c r="U156" s="304">
        <v>7972.7030791097968</v>
      </c>
      <c r="V156" s="304">
        <v>8262.2572822134243</v>
      </c>
      <c r="W156" s="304">
        <v>8551.81148531705</v>
      </c>
      <c r="X156" s="304">
        <v>8767.5575443644557</v>
      </c>
      <c r="Y156" s="304">
        <v>8983.3036034118595</v>
      </c>
      <c r="Z156" s="304">
        <v>9199.0496624592652</v>
      </c>
      <c r="AA156" s="304">
        <v>9414.795721506669</v>
      </c>
      <c r="AB156" s="304">
        <v>9630.5417805540746</v>
      </c>
      <c r="AC156" s="304"/>
      <c r="AD156" s="304"/>
      <c r="AE156" s="304"/>
      <c r="AF156" s="304"/>
      <c r="AG156" s="304"/>
      <c r="AH156" s="304"/>
      <c r="AI156" s="304"/>
      <c r="AJ156" s="304"/>
      <c r="AK156" s="304"/>
      <c r="AL156" s="304"/>
      <c r="AM156" s="304"/>
      <c r="AN156" s="304"/>
      <c r="AO156" s="304"/>
      <c r="AP156" s="163"/>
    </row>
    <row r="157" spans="2:42" x14ac:dyDescent="0.3">
      <c r="B157" s="6"/>
      <c r="C157" s="6"/>
      <c r="D157" s="6">
        <f t="shared" si="12"/>
        <v>4</v>
      </c>
      <c r="E157" s="636" t="str">
        <f t="shared" si="14"/>
        <v>Incurred Energy Charges</v>
      </c>
      <c r="F157" s="303"/>
      <c r="G157" s="304"/>
      <c r="H157" s="304"/>
      <c r="I157" s="304">
        <v>0</v>
      </c>
      <c r="J157" s="304">
        <v>0</v>
      </c>
      <c r="K157" s="304">
        <v>0</v>
      </c>
      <c r="L157" s="304">
        <v>0</v>
      </c>
      <c r="M157" s="304">
        <v>0</v>
      </c>
      <c r="N157" s="304">
        <v>0</v>
      </c>
      <c r="O157" s="304">
        <v>0</v>
      </c>
      <c r="P157" s="304">
        <v>0</v>
      </c>
      <c r="Q157" s="304">
        <v>0</v>
      </c>
      <c r="R157" s="304">
        <v>0</v>
      </c>
      <c r="S157" s="304">
        <v>0</v>
      </c>
      <c r="T157" s="304">
        <v>0</v>
      </c>
      <c r="U157" s="304">
        <v>0</v>
      </c>
      <c r="V157" s="304">
        <v>0</v>
      </c>
      <c r="W157" s="304">
        <v>0</v>
      </c>
      <c r="X157" s="304">
        <v>0</v>
      </c>
      <c r="Y157" s="304">
        <v>0</v>
      </c>
      <c r="Z157" s="304">
        <v>0</v>
      </c>
      <c r="AA157" s="304">
        <v>0</v>
      </c>
      <c r="AB157" s="304">
        <v>0</v>
      </c>
      <c r="AC157" s="304"/>
      <c r="AD157" s="304"/>
      <c r="AE157" s="304"/>
      <c r="AF157" s="304"/>
      <c r="AG157" s="304"/>
      <c r="AH157" s="304"/>
      <c r="AI157" s="304"/>
      <c r="AJ157" s="304"/>
      <c r="AK157" s="304"/>
      <c r="AL157" s="304"/>
      <c r="AM157" s="304"/>
      <c r="AN157" s="304"/>
      <c r="AO157" s="304"/>
      <c r="AP157" s="163"/>
    </row>
    <row r="158" spans="2:42" x14ac:dyDescent="0.3">
      <c r="B158" s="6"/>
      <c r="C158" s="6"/>
      <c r="D158" s="6">
        <f t="shared" si="12"/>
        <v>4</v>
      </c>
      <c r="E158" s="636" t="str">
        <f t="shared" si="14"/>
        <v>As Used Demand Charges</v>
      </c>
      <c r="F158" s="303"/>
      <c r="G158" s="304"/>
      <c r="H158" s="304"/>
      <c r="I158" s="304">
        <v>0</v>
      </c>
      <c r="J158" s="304">
        <v>0</v>
      </c>
      <c r="K158" s="304">
        <v>0</v>
      </c>
      <c r="L158" s="304">
        <v>0</v>
      </c>
      <c r="M158" s="304">
        <v>0</v>
      </c>
      <c r="N158" s="304">
        <v>0</v>
      </c>
      <c r="O158" s="304">
        <v>0</v>
      </c>
      <c r="P158" s="304">
        <v>0</v>
      </c>
      <c r="Q158" s="304">
        <v>0</v>
      </c>
      <c r="R158" s="304">
        <v>0</v>
      </c>
      <c r="S158" s="304">
        <v>0</v>
      </c>
      <c r="T158" s="304">
        <v>0</v>
      </c>
      <c r="U158" s="304">
        <v>0</v>
      </c>
      <c r="V158" s="304">
        <v>0</v>
      </c>
      <c r="W158" s="304">
        <v>0</v>
      </c>
      <c r="X158" s="304">
        <v>0</v>
      </c>
      <c r="Y158" s="304">
        <v>0</v>
      </c>
      <c r="Z158" s="304">
        <v>0</v>
      </c>
      <c r="AA158" s="304">
        <v>0</v>
      </c>
      <c r="AB158" s="304">
        <v>0</v>
      </c>
      <c r="AC158" s="304"/>
      <c r="AD158" s="304"/>
      <c r="AE158" s="304"/>
      <c r="AF158" s="304"/>
      <c r="AG158" s="304"/>
      <c r="AH158" s="304"/>
      <c r="AI158" s="304"/>
      <c r="AJ158" s="304"/>
      <c r="AK158" s="304"/>
      <c r="AL158" s="304"/>
      <c r="AM158" s="304"/>
      <c r="AN158" s="304"/>
      <c r="AO158" s="304"/>
      <c r="AP158" s="163"/>
    </row>
    <row r="159" spans="2:42" x14ac:dyDescent="0.3">
      <c r="B159" s="6"/>
      <c r="C159" s="6"/>
      <c r="D159" s="6">
        <f t="shared" si="12"/>
        <v>4</v>
      </c>
      <c r="E159" s="636" t="str">
        <f t="shared" si="14"/>
        <v>Contract Demand Charges  Fixed</v>
      </c>
      <c r="F159" s="303"/>
      <c r="G159" s="304"/>
      <c r="H159" s="304"/>
      <c r="I159" s="304">
        <v>0</v>
      </c>
      <c r="J159" s="304">
        <v>0</v>
      </c>
      <c r="K159" s="304">
        <v>0</v>
      </c>
      <c r="L159" s="304">
        <v>0</v>
      </c>
      <c r="M159" s="304">
        <v>0</v>
      </c>
      <c r="N159" s="304">
        <v>0</v>
      </c>
      <c r="O159" s="304">
        <v>0</v>
      </c>
      <c r="P159" s="304">
        <v>0</v>
      </c>
      <c r="Q159" s="304">
        <v>0</v>
      </c>
      <c r="R159" s="304">
        <v>0</v>
      </c>
      <c r="S159" s="304">
        <v>0</v>
      </c>
      <c r="T159" s="304">
        <v>0</v>
      </c>
      <c r="U159" s="304">
        <v>0</v>
      </c>
      <c r="V159" s="304">
        <v>0</v>
      </c>
      <c r="W159" s="304">
        <v>0</v>
      </c>
      <c r="X159" s="304">
        <v>0</v>
      </c>
      <c r="Y159" s="304">
        <v>0</v>
      </c>
      <c r="Z159" s="304">
        <v>0</v>
      </c>
      <c r="AA159" s="304">
        <v>0</v>
      </c>
      <c r="AB159" s="304">
        <v>0</v>
      </c>
      <c r="AC159" s="304"/>
      <c r="AD159" s="304"/>
      <c r="AE159" s="304"/>
      <c r="AF159" s="304"/>
      <c r="AG159" s="304"/>
      <c r="AH159" s="304"/>
      <c r="AI159" s="304"/>
      <c r="AJ159" s="304"/>
      <c r="AK159" s="304"/>
      <c r="AL159" s="304"/>
      <c r="AM159" s="304"/>
      <c r="AN159" s="304"/>
      <c r="AO159" s="304"/>
      <c r="AP159" s="163"/>
    </row>
    <row r="160" spans="2:42" x14ac:dyDescent="0.3">
      <c r="B160" s="6"/>
      <c r="C160" s="6"/>
      <c r="D160" s="6">
        <f t="shared" si="12"/>
        <v>4</v>
      </c>
      <c r="E160" s="636" t="str">
        <f t="shared" si="14"/>
        <v>Customer Charges/ Fixed Charges</v>
      </c>
      <c r="F160" s="303"/>
      <c r="G160" s="304"/>
      <c r="H160" s="304"/>
      <c r="I160" s="304">
        <v>0</v>
      </c>
      <c r="J160" s="304">
        <v>0</v>
      </c>
      <c r="K160" s="304">
        <v>0</v>
      </c>
      <c r="L160" s="304">
        <v>0</v>
      </c>
      <c r="M160" s="304">
        <v>0</v>
      </c>
      <c r="N160" s="304">
        <v>0</v>
      </c>
      <c r="O160" s="304">
        <v>0</v>
      </c>
      <c r="P160" s="304">
        <v>0</v>
      </c>
      <c r="Q160" s="304">
        <v>0</v>
      </c>
      <c r="R160" s="304">
        <v>0</v>
      </c>
      <c r="S160" s="304">
        <v>0</v>
      </c>
      <c r="T160" s="304">
        <v>0</v>
      </c>
      <c r="U160" s="304">
        <v>0</v>
      </c>
      <c r="V160" s="304">
        <v>0</v>
      </c>
      <c r="W160" s="304">
        <v>0</v>
      </c>
      <c r="X160" s="304">
        <v>0</v>
      </c>
      <c r="Y160" s="304">
        <v>0</v>
      </c>
      <c r="Z160" s="304">
        <v>0</v>
      </c>
      <c r="AA160" s="304">
        <v>0</v>
      </c>
      <c r="AB160" s="304">
        <v>0</v>
      </c>
      <c r="AC160" s="304"/>
      <c r="AD160" s="304"/>
      <c r="AE160" s="304"/>
      <c r="AF160" s="304"/>
      <c r="AG160" s="304"/>
      <c r="AH160" s="304"/>
      <c r="AI160" s="304"/>
      <c r="AJ160" s="304"/>
      <c r="AK160" s="304"/>
      <c r="AL160" s="304"/>
      <c r="AM160" s="304"/>
      <c r="AN160" s="304"/>
      <c r="AO160" s="304"/>
      <c r="AP160" s="163"/>
    </row>
    <row r="161" spans="2:42" x14ac:dyDescent="0.3">
      <c r="B161" s="6"/>
      <c r="C161" s="6"/>
      <c r="D161" s="6">
        <f t="shared" si="12"/>
        <v>4</v>
      </c>
      <c r="E161" s="637" t="str">
        <f t="shared" si="14"/>
        <v>Energy Savings</v>
      </c>
      <c r="F161" s="303"/>
      <c r="G161" s="304"/>
      <c r="H161" s="304"/>
      <c r="I161" s="304">
        <v>-7808.4351454470889</v>
      </c>
      <c r="J161" s="304">
        <v>-6396.4967710388883</v>
      </c>
      <c r="K161" s="304">
        <v>582.8740024996514</v>
      </c>
      <c r="L161" s="617">
        <v>1222.5236007493804</v>
      </c>
      <c r="M161" s="617">
        <v>1462.9933640665549</v>
      </c>
      <c r="N161" s="617">
        <v>2578.4550436509076</v>
      </c>
      <c r="O161" s="617">
        <v>3693.9167232352602</v>
      </c>
      <c r="P161" s="617">
        <v>4809.3784028196133</v>
      </c>
      <c r="Q161" s="617">
        <v>5924.8400824039654</v>
      </c>
      <c r="R161" s="617">
        <v>7040.3017619883176</v>
      </c>
      <c r="S161" s="617">
        <v>6937.7334499605467</v>
      </c>
      <c r="T161" s="617">
        <v>6835.1651379327759</v>
      </c>
      <c r="U161" s="617">
        <v>6732.5968259050042</v>
      </c>
      <c r="V161" s="617">
        <v>6630.0285138772333</v>
      </c>
      <c r="W161" s="617">
        <v>6527.4602018494625</v>
      </c>
      <c r="X161" s="617">
        <v>6299.3558145035522</v>
      </c>
      <c r="Y161" s="617">
        <v>6071.251427157642</v>
      </c>
      <c r="Z161" s="617">
        <v>5843.1470398117326</v>
      </c>
      <c r="AA161" s="617">
        <v>5615.0426524658224</v>
      </c>
      <c r="AB161" s="304">
        <v>5386.9382651199121</v>
      </c>
      <c r="AC161" s="304"/>
      <c r="AD161" s="304"/>
      <c r="AE161" s="304"/>
      <c r="AF161" s="304"/>
      <c r="AG161" s="304"/>
      <c r="AH161" s="304"/>
      <c r="AI161" s="304"/>
      <c r="AJ161" s="304"/>
      <c r="AK161" s="304"/>
      <c r="AL161" s="304"/>
      <c r="AM161" s="304"/>
      <c r="AN161" s="304"/>
      <c r="AO161" s="304"/>
      <c r="AP161" s="163"/>
    </row>
    <row r="162" spans="2:42" x14ac:dyDescent="0.3">
      <c r="B162" s="6"/>
      <c r="C162" s="6"/>
      <c r="D162" s="6">
        <f t="shared" si="12"/>
        <v>4</v>
      </c>
      <c r="E162" s="637" t="str">
        <f t="shared" si="14"/>
        <v xml:space="preserve">Demand Savings </v>
      </c>
      <c r="F162" s="303"/>
      <c r="G162" s="304"/>
      <c r="H162" s="304"/>
      <c r="I162" s="304">
        <v>11770.499900252336</v>
      </c>
      <c r="J162" s="304">
        <v>14106.202732883077</v>
      </c>
      <c r="K162" s="304">
        <v>18641.838576312643</v>
      </c>
      <c r="L162" s="617">
        <v>19676.734417664178</v>
      </c>
      <c r="M162" s="617">
        <v>19762.401247186972</v>
      </c>
      <c r="N162" s="617">
        <v>20261.894920343035</v>
      </c>
      <c r="O162" s="617">
        <v>20761.388593499094</v>
      </c>
      <c r="P162" s="617">
        <v>21260.882266655157</v>
      </c>
      <c r="Q162" s="617">
        <v>21760.375939811216</v>
      </c>
      <c r="R162" s="617">
        <v>22259.869612967279</v>
      </c>
      <c r="S162" s="617">
        <v>21604.053371718244</v>
      </c>
      <c r="T162" s="617">
        <v>20948.237130469206</v>
      </c>
      <c r="U162" s="617">
        <v>20292.420889220171</v>
      </c>
      <c r="V162" s="617">
        <v>19636.604647971133</v>
      </c>
      <c r="W162" s="617">
        <v>18980.788406722098</v>
      </c>
      <c r="X162" s="617">
        <v>19128.924240718581</v>
      </c>
      <c r="Y162" s="617">
        <v>19277.060074715064</v>
      </c>
      <c r="Z162" s="617">
        <v>19425.195908711547</v>
      </c>
      <c r="AA162" s="617">
        <v>19573.331742708029</v>
      </c>
      <c r="AB162" s="304">
        <v>19721.467576704512</v>
      </c>
      <c r="AC162" s="304"/>
      <c r="AD162" s="304"/>
      <c r="AE162" s="304"/>
      <c r="AF162" s="304"/>
      <c r="AG162" s="304"/>
      <c r="AH162" s="304"/>
      <c r="AI162" s="304"/>
      <c r="AJ162" s="304"/>
      <c r="AK162" s="304"/>
      <c r="AL162" s="304"/>
      <c r="AM162" s="304"/>
      <c r="AN162" s="304"/>
      <c r="AO162" s="304"/>
      <c r="AP162" s="163"/>
    </row>
    <row r="163" spans="2:42" x14ac:dyDescent="0.3">
      <c r="B163" s="6"/>
      <c r="C163" s="6"/>
      <c r="D163" s="6">
        <f t="shared" si="12"/>
        <v>4</v>
      </c>
      <c r="E163" s="638" t="str">
        <f t="shared" si="14"/>
        <v>Energy Generation - Export</v>
      </c>
      <c r="F163" s="303"/>
      <c r="G163" s="304"/>
      <c r="H163" s="304"/>
      <c r="I163" s="304">
        <v>4234.3292808621281</v>
      </c>
      <c r="J163" s="304">
        <v>4593.2214477732186</v>
      </c>
      <c r="K163" s="304">
        <v>2889.1477100340508</v>
      </c>
      <c r="L163" s="617">
        <v>3153.2192683286194</v>
      </c>
      <c r="M163" s="617">
        <v>3923.0291297211993</v>
      </c>
      <c r="N163" s="617">
        <v>3969.2638813440153</v>
      </c>
      <c r="O163" s="617">
        <v>4015.4986329668313</v>
      </c>
      <c r="P163" s="617">
        <v>4061.7333845896474</v>
      </c>
      <c r="Q163" s="617">
        <v>4107.9681362124629</v>
      </c>
      <c r="R163" s="617">
        <v>4154.2028878352794</v>
      </c>
      <c r="S163" s="617">
        <v>4104.6259321827611</v>
      </c>
      <c r="T163" s="617">
        <v>4055.0489765302436</v>
      </c>
      <c r="U163" s="617">
        <v>4005.4720208777253</v>
      </c>
      <c r="V163" s="617">
        <v>3955.8950652252074</v>
      </c>
      <c r="W163" s="617">
        <v>3906.3181095726895</v>
      </c>
      <c r="X163" s="617">
        <v>3930.5989570973279</v>
      </c>
      <c r="Y163" s="617">
        <v>3954.8798046219667</v>
      </c>
      <c r="Z163" s="617">
        <v>3979.1606521466051</v>
      </c>
      <c r="AA163" s="617">
        <v>4003.4414996712439</v>
      </c>
      <c r="AB163" s="304">
        <v>4027.7223471958823</v>
      </c>
      <c r="AC163" s="304"/>
      <c r="AD163" s="304"/>
      <c r="AE163" s="304"/>
      <c r="AF163" s="304"/>
      <c r="AG163" s="304"/>
      <c r="AH163" s="304"/>
      <c r="AI163" s="304"/>
      <c r="AJ163" s="304"/>
      <c r="AK163" s="304"/>
      <c r="AL163" s="304"/>
      <c r="AM163" s="304"/>
      <c r="AN163" s="304"/>
      <c r="AO163" s="304"/>
      <c r="AP163" s="163"/>
    </row>
    <row r="164" spans="2:42" x14ac:dyDescent="0.3">
      <c r="B164" s="6"/>
      <c r="C164" s="6"/>
      <c r="D164" s="6">
        <f t="shared" si="12"/>
        <v>4</v>
      </c>
      <c r="E164" s="638" t="str">
        <f t="shared" si="14"/>
        <v>Generation Capacity</v>
      </c>
      <c r="F164" s="303"/>
      <c r="G164" s="304"/>
      <c r="H164" s="304"/>
      <c r="I164" s="304">
        <v>31712.403096705901</v>
      </c>
      <c r="J164" s="304">
        <v>31146.155476816934</v>
      </c>
      <c r="K164" s="304">
        <v>24851.728462167379</v>
      </c>
      <c r="L164" s="617">
        <v>24230.04394976595</v>
      </c>
      <c r="M164" s="617">
        <v>26553.865498473435</v>
      </c>
      <c r="N164" s="617">
        <v>27896.916105087595</v>
      </c>
      <c r="O164" s="617">
        <v>29239.96671170176</v>
      </c>
      <c r="P164" s="617">
        <v>30583.01731831592</v>
      </c>
      <c r="Q164" s="617">
        <v>31926.067924930085</v>
      </c>
      <c r="R164" s="617">
        <v>33269.118531544249</v>
      </c>
      <c r="S164" s="617">
        <v>34224.882169371522</v>
      </c>
      <c r="T164" s="617">
        <v>34755.241749848217</v>
      </c>
      <c r="U164" s="617">
        <v>35285.60133032492</v>
      </c>
      <c r="V164" s="617">
        <v>35815.960910801616</v>
      </c>
      <c r="W164" s="617">
        <v>36346.320491278311</v>
      </c>
      <c r="X164" s="617">
        <v>35993.374508034998</v>
      </c>
      <c r="Y164" s="617">
        <v>35640.428524791678</v>
      </c>
      <c r="Z164" s="617">
        <v>35287.482541548365</v>
      </c>
      <c r="AA164" s="617">
        <v>34934.536558305044</v>
      </c>
      <c r="AB164" s="304">
        <v>34581.590575061731</v>
      </c>
      <c r="AC164" s="304"/>
      <c r="AD164" s="304"/>
      <c r="AE164" s="304"/>
      <c r="AF164" s="304"/>
      <c r="AG164" s="304"/>
      <c r="AH164" s="304"/>
      <c r="AI164" s="304"/>
      <c r="AJ164" s="304"/>
      <c r="AK164" s="304"/>
      <c r="AL164" s="304"/>
      <c r="AM164" s="304"/>
      <c r="AN164" s="304"/>
      <c r="AO164" s="304"/>
      <c r="AP164" s="163"/>
    </row>
    <row r="165" spans="2:42" x14ac:dyDescent="0.3">
      <c r="B165" s="6"/>
      <c r="C165" s="6"/>
      <c r="D165" s="6">
        <f t="shared" si="12"/>
        <v>4</v>
      </c>
      <c r="E165" s="638" t="str">
        <f t="shared" si="14"/>
        <v>Transmission Capacity</v>
      </c>
      <c r="F165" s="303"/>
      <c r="G165" s="304"/>
      <c r="H165" s="304"/>
      <c r="I165" s="304">
        <v>10806.999528815139</v>
      </c>
      <c r="J165" s="304">
        <v>10614.032829234802</v>
      </c>
      <c r="K165" s="304">
        <v>8469.0087017966362</v>
      </c>
      <c r="L165" s="617">
        <v>8257.1501361715073</v>
      </c>
      <c r="M165" s="617">
        <v>9049.0654730619153</v>
      </c>
      <c r="N165" s="617">
        <v>9506.7522408730183</v>
      </c>
      <c r="O165" s="617">
        <v>9964.4390086841231</v>
      </c>
      <c r="P165" s="617">
        <v>10422.125776495226</v>
      </c>
      <c r="Q165" s="617">
        <v>10879.812544306331</v>
      </c>
      <c r="R165" s="617">
        <v>11337.499312117434</v>
      </c>
      <c r="S165" s="617">
        <v>11454.073316095322</v>
      </c>
      <c r="T165" s="617">
        <v>11480.464299796178</v>
      </c>
      <c r="U165" s="617">
        <v>11506.855283497032</v>
      </c>
      <c r="V165" s="617">
        <v>11533.246267197886</v>
      </c>
      <c r="W165" s="617">
        <v>11559.637250898737</v>
      </c>
      <c r="X165" s="617">
        <v>11447.385791045088</v>
      </c>
      <c r="Y165" s="617">
        <v>11335.134331191442</v>
      </c>
      <c r="Z165" s="617">
        <v>11222.882871337797</v>
      </c>
      <c r="AA165" s="617">
        <v>11110.631411484152</v>
      </c>
      <c r="AB165" s="304">
        <v>10998.379951630501</v>
      </c>
      <c r="AC165" s="304"/>
      <c r="AD165" s="304"/>
      <c r="AE165" s="304"/>
      <c r="AF165" s="304"/>
      <c r="AG165" s="304"/>
      <c r="AH165" s="304"/>
      <c r="AI165" s="304"/>
      <c r="AJ165" s="304"/>
      <c r="AK165" s="304"/>
      <c r="AL165" s="304"/>
      <c r="AM165" s="304"/>
      <c r="AN165" s="304"/>
      <c r="AO165" s="304"/>
      <c r="AP165" s="163"/>
    </row>
    <row r="166" spans="2:42" x14ac:dyDescent="0.3">
      <c r="B166" s="6"/>
      <c r="C166" s="6"/>
      <c r="D166" s="6">
        <f t="shared" si="12"/>
        <v>4</v>
      </c>
      <c r="E166" s="638" t="str">
        <f t="shared" si="14"/>
        <v>Distribution Capacity</v>
      </c>
      <c r="F166" s="303"/>
      <c r="G166" s="304"/>
      <c r="H166" s="304"/>
      <c r="I166" s="304">
        <v>1797.6619125083491</v>
      </c>
      <c r="J166" s="304">
        <v>1964.534341195663</v>
      </c>
      <c r="K166" s="304">
        <v>1704.7077117952851</v>
      </c>
      <c r="L166" s="617">
        <v>1721.3686581318163</v>
      </c>
      <c r="M166" s="617">
        <v>1863.8042137367602</v>
      </c>
      <c r="N166" s="617">
        <v>1976.5580282372905</v>
      </c>
      <c r="O166" s="617">
        <v>2089.3118427378208</v>
      </c>
      <c r="P166" s="617">
        <v>2202.0656572383514</v>
      </c>
      <c r="Q166" s="617">
        <v>2314.8194717388815</v>
      </c>
      <c r="R166" s="617">
        <v>2427.5732862394116</v>
      </c>
      <c r="S166" s="617">
        <v>2461.6254433975741</v>
      </c>
      <c r="T166" s="617">
        <v>2476.3677082355725</v>
      </c>
      <c r="U166" s="617">
        <v>2491.10997307357</v>
      </c>
      <c r="V166" s="617">
        <v>2505.8522379115684</v>
      </c>
      <c r="W166" s="617">
        <v>2520.5945027495668</v>
      </c>
      <c r="X166" s="617">
        <v>2420.4414467889487</v>
      </c>
      <c r="Y166" s="617">
        <v>2320.2883908283311</v>
      </c>
      <c r="Z166" s="617">
        <v>2220.135334867713</v>
      </c>
      <c r="AA166" s="617">
        <v>2119.9822789070959</v>
      </c>
      <c r="AB166" s="304">
        <v>2019.829222946478</v>
      </c>
      <c r="AC166" s="304"/>
      <c r="AD166" s="304"/>
      <c r="AE166" s="304"/>
      <c r="AF166" s="304"/>
      <c r="AG166" s="304"/>
      <c r="AH166" s="304"/>
      <c r="AI166" s="304"/>
      <c r="AJ166" s="304"/>
      <c r="AK166" s="304"/>
      <c r="AL166" s="304"/>
      <c r="AM166" s="304"/>
      <c r="AN166" s="304"/>
      <c r="AO166" s="304"/>
      <c r="AP166" s="163"/>
    </row>
    <row r="167" spans="2:42" x14ac:dyDescent="0.3">
      <c r="B167" s="6"/>
      <c r="C167" s="6"/>
      <c r="D167" s="6">
        <f t="shared" si="12"/>
        <v>4</v>
      </c>
      <c r="E167" s="638" t="str">
        <f t="shared" si="14"/>
        <v>GHG Impacts</v>
      </c>
      <c r="F167" s="303"/>
      <c r="G167" s="304"/>
      <c r="H167" s="304"/>
      <c r="I167" s="304">
        <v>15013.233170749021</v>
      </c>
      <c r="J167" s="304">
        <v>14426.379816182998</v>
      </c>
      <c r="K167" s="304">
        <v>3626.5827041145899</v>
      </c>
      <c r="L167" s="617">
        <v>6356.7387057627766</v>
      </c>
      <c r="M167" s="617">
        <v>8160.1435471996037</v>
      </c>
      <c r="N167" s="617">
        <v>8548.7322848155982</v>
      </c>
      <c r="O167" s="617">
        <v>8937.3210224315935</v>
      </c>
      <c r="P167" s="617">
        <v>9325.909760047587</v>
      </c>
      <c r="Q167" s="617">
        <v>9714.4984976635824</v>
      </c>
      <c r="R167" s="617">
        <v>10103.087235279578</v>
      </c>
      <c r="S167" s="617">
        <v>13270.894863483058</v>
      </c>
      <c r="T167" s="617">
        <v>16438.702491686538</v>
      </c>
      <c r="U167" s="617">
        <v>19606.510119890019</v>
      </c>
      <c r="V167" s="617">
        <v>22774.317748093497</v>
      </c>
      <c r="W167" s="617">
        <v>25942.125376296979</v>
      </c>
      <c r="X167" s="617">
        <v>30222.415821392391</v>
      </c>
      <c r="Y167" s="617">
        <v>34502.706266487803</v>
      </c>
      <c r="Z167" s="617">
        <v>38782.996711583219</v>
      </c>
      <c r="AA167" s="617">
        <v>43063.287156678634</v>
      </c>
      <c r="AB167" s="304">
        <v>47343.577601774043</v>
      </c>
      <c r="AC167" s="304"/>
      <c r="AD167" s="304"/>
      <c r="AE167" s="304"/>
      <c r="AF167" s="304"/>
      <c r="AG167" s="304"/>
      <c r="AH167" s="304"/>
      <c r="AI167" s="304"/>
      <c r="AJ167" s="304"/>
      <c r="AK167" s="304"/>
      <c r="AL167" s="304"/>
      <c r="AM167" s="304"/>
      <c r="AN167" s="304"/>
      <c r="AO167" s="304"/>
      <c r="AP167" s="163"/>
    </row>
    <row r="168" spans="2:42" x14ac:dyDescent="0.3">
      <c r="B168" s="6"/>
      <c r="C168" s="6"/>
      <c r="D168" s="6">
        <f t="shared" si="12"/>
        <v>4</v>
      </c>
      <c r="E168" s="638" t="str">
        <f t="shared" si="14"/>
        <v>Market Price Effects - Wholesale Energy</v>
      </c>
      <c r="F168" s="303"/>
      <c r="G168" s="304"/>
      <c r="H168" s="304"/>
      <c r="I168" s="304">
        <v>-1250.2319651948853</v>
      </c>
      <c r="J168" s="304">
        <v>-365.29048560231274</v>
      </c>
      <c r="K168" s="304">
        <v>-380.08753606144688</v>
      </c>
      <c r="L168" s="617">
        <v>-616.13860678776689</v>
      </c>
      <c r="M168" s="617">
        <v>1255.1646263453167</v>
      </c>
      <c r="N168" s="617">
        <v>1009.1099397372225</v>
      </c>
      <c r="O168" s="617">
        <v>763.05525312912835</v>
      </c>
      <c r="P168" s="617">
        <v>517.00056652103422</v>
      </c>
      <c r="Q168" s="617">
        <v>270.94587991293997</v>
      </c>
      <c r="R168" s="617">
        <v>24.891193304845778</v>
      </c>
      <c r="S168" s="617">
        <v>606.16245130658808</v>
      </c>
      <c r="T168" s="617">
        <v>1187.4337093083304</v>
      </c>
      <c r="U168" s="617">
        <v>1768.7049673100728</v>
      </c>
      <c r="V168" s="617">
        <v>2349.9762253118151</v>
      </c>
      <c r="W168" s="617">
        <v>2931.2474833135575</v>
      </c>
      <c r="X168" s="617">
        <v>3345.4478732513835</v>
      </c>
      <c r="Y168" s="617">
        <v>3759.6482631892095</v>
      </c>
      <c r="Z168" s="617">
        <v>4173.8486531270355</v>
      </c>
      <c r="AA168" s="617">
        <v>4588.0490430648615</v>
      </c>
      <c r="AB168" s="304">
        <v>5002.2494330026875</v>
      </c>
      <c r="AC168" s="304"/>
      <c r="AD168" s="304"/>
      <c r="AE168" s="304"/>
      <c r="AF168" s="304"/>
      <c r="AG168" s="304"/>
      <c r="AH168" s="304"/>
      <c r="AI168" s="304"/>
      <c r="AJ168" s="304"/>
      <c r="AK168" s="304"/>
      <c r="AL168" s="304"/>
      <c r="AM168" s="304"/>
      <c r="AN168" s="304"/>
      <c r="AO168" s="304"/>
      <c r="AP168" s="163"/>
    </row>
    <row r="169" spans="2:42" x14ac:dyDescent="0.3">
      <c r="B169" s="6"/>
      <c r="C169" s="6"/>
      <c r="D169" s="6">
        <f t="shared" si="12"/>
        <v>4</v>
      </c>
      <c r="E169" s="638" t="str">
        <f t="shared" si="14"/>
        <v>Market Price Effects - Wholesale Capacity</v>
      </c>
      <c r="F169" s="303"/>
      <c r="G169" s="304"/>
      <c r="H169" s="304"/>
      <c r="I169" s="304">
        <v>0</v>
      </c>
      <c r="J169" s="304">
        <v>0</v>
      </c>
      <c r="K169" s="304">
        <v>0</v>
      </c>
      <c r="L169" s="617">
        <v>0</v>
      </c>
      <c r="M169" s="617">
        <v>0</v>
      </c>
      <c r="N169" s="617">
        <v>0</v>
      </c>
      <c r="O169" s="617">
        <v>0</v>
      </c>
      <c r="P169" s="617">
        <v>0</v>
      </c>
      <c r="Q169" s="617">
        <v>0</v>
      </c>
      <c r="R169" s="617">
        <v>0</v>
      </c>
      <c r="S169" s="617">
        <v>0</v>
      </c>
      <c r="T169" s="617">
        <v>0</v>
      </c>
      <c r="U169" s="617">
        <v>0</v>
      </c>
      <c r="V169" s="617">
        <v>0</v>
      </c>
      <c r="W169" s="617">
        <v>0</v>
      </c>
      <c r="X169" s="617">
        <v>0</v>
      </c>
      <c r="Y169" s="617">
        <v>0</v>
      </c>
      <c r="Z169" s="617">
        <v>0</v>
      </c>
      <c r="AA169" s="617">
        <v>0</v>
      </c>
      <c r="AB169" s="304">
        <v>0</v>
      </c>
      <c r="AC169" s="304"/>
      <c r="AD169" s="304"/>
      <c r="AE169" s="304"/>
      <c r="AF169" s="304"/>
      <c r="AG169" s="304"/>
      <c r="AH169" s="304"/>
      <c r="AI169" s="304"/>
      <c r="AJ169" s="304"/>
      <c r="AK169" s="304"/>
      <c r="AL169" s="304"/>
      <c r="AM169" s="304"/>
      <c r="AN169" s="304"/>
      <c r="AO169" s="304"/>
      <c r="AP169" s="163"/>
    </row>
    <row r="170" spans="2:42" x14ac:dyDescent="0.3">
      <c r="B170" s="6"/>
      <c r="C170" s="6"/>
      <c r="D170" s="6">
        <f t="shared" si="12"/>
        <v>4</v>
      </c>
      <c r="E170" s="639" t="str">
        <f t="shared" si="14"/>
        <v>Avoided Cost of Participant Backup Generator</v>
      </c>
      <c r="F170" s="303"/>
      <c r="G170" s="303"/>
      <c r="H170" s="304"/>
      <c r="I170" s="303"/>
      <c r="J170" s="303"/>
      <c r="K170" s="303"/>
      <c r="L170" s="303"/>
      <c r="M170" s="303"/>
      <c r="N170" s="303"/>
      <c r="O170" s="303"/>
      <c r="P170" s="303"/>
      <c r="Q170" s="303"/>
      <c r="R170" s="303"/>
      <c r="S170" s="303"/>
      <c r="T170" s="303"/>
      <c r="U170" s="303"/>
      <c r="V170" s="303"/>
      <c r="W170" s="303"/>
      <c r="X170" s="303"/>
      <c r="Y170" s="303"/>
      <c r="Z170" s="303"/>
      <c r="AA170" s="303"/>
      <c r="AB170" s="303"/>
      <c r="AC170" s="303"/>
      <c r="AD170" s="303"/>
      <c r="AE170" s="303"/>
      <c r="AF170" s="303"/>
      <c r="AG170" s="303"/>
      <c r="AH170" s="303"/>
      <c r="AI170" s="303"/>
      <c r="AJ170" s="303"/>
      <c r="AK170" s="303"/>
      <c r="AL170" s="303"/>
      <c r="AM170" s="303"/>
      <c r="AN170" s="303"/>
      <c r="AO170" s="303"/>
      <c r="AP170" s="163"/>
    </row>
    <row r="171" spans="2:42" x14ac:dyDescent="0.3">
      <c r="B171" s="6"/>
      <c r="C171" s="6"/>
      <c r="D171" s="6">
        <f t="shared" si="12"/>
        <v>4</v>
      </c>
      <c r="E171" s="640" t="str">
        <f t="shared" si="14"/>
        <v>Full Eq DoD Cycle</v>
      </c>
      <c r="F171" s="303"/>
      <c r="G171" s="303"/>
      <c r="H171" s="313"/>
      <c r="I171" s="308">
        <v>358.28152190015612</v>
      </c>
      <c r="J171" s="308">
        <v>332.82323888831996</v>
      </c>
      <c r="K171" s="308">
        <v>284.34481713081152</v>
      </c>
      <c r="L171" s="618">
        <v>271.54643466712849</v>
      </c>
      <c r="M171" s="618">
        <v>254.98677261655914</v>
      </c>
      <c r="N171" s="618">
        <v>254.98677261655914</v>
      </c>
      <c r="O171" s="618">
        <v>254.98677261655914</v>
      </c>
      <c r="P171" s="618">
        <v>254.98677261655914</v>
      </c>
      <c r="Q171" s="618">
        <v>254.98677261655914</v>
      </c>
      <c r="R171" s="618">
        <v>211.13083301934464</v>
      </c>
      <c r="S171" s="618">
        <v>211.13083301934464</v>
      </c>
      <c r="T171" s="618">
        <v>211.13083301934464</v>
      </c>
      <c r="U171" s="618">
        <v>211.13083301934464</v>
      </c>
      <c r="V171" s="618">
        <v>211.13083301934464</v>
      </c>
      <c r="W171" s="618">
        <v>224.27948792453356</v>
      </c>
      <c r="X171" s="618">
        <v>224.27948792453356</v>
      </c>
      <c r="Y171" s="618">
        <v>224.27948792453356</v>
      </c>
      <c r="Z171" s="618">
        <v>224.27948792453356</v>
      </c>
      <c r="AA171" s="618">
        <v>224.27948792453356</v>
      </c>
      <c r="AB171" s="308">
        <v>238.83288186071329</v>
      </c>
      <c r="AC171" s="309"/>
      <c r="AD171" s="309"/>
      <c r="AE171" s="309"/>
      <c r="AF171" s="309"/>
      <c r="AG171" s="309"/>
      <c r="AH171" s="309"/>
      <c r="AI171" s="309"/>
      <c r="AJ171" s="309"/>
      <c r="AK171" s="309"/>
      <c r="AL171" s="309"/>
      <c r="AM171" s="309"/>
      <c r="AN171" s="309"/>
      <c r="AO171" s="309"/>
      <c r="AP171" s="163"/>
    </row>
    <row r="172" spans="2:42" x14ac:dyDescent="0.3">
      <c r="B172" s="6"/>
      <c r="C172" s="6"/>
      <c r="D172" s="6">
        <f t="shared" si="12"/>
        <v>4</v>
      </c>
      <c r="E172" s="640" t="str">
        <f t="shared" si="14"/>
        <v>Export MWh</v>
      </c>
      <c r="F172" s="303"/>
      <c r="G172" s="303"/>
      <c r="H172" s="313"/>
      <c r="I172" s="308">
        <v>3.726</v>
      </c>
      <c r="J172" s="308">
        <v>4.0960000000000001</v>
      </c>
      <c r="K172" s="308">
        <v>3.1339999999999999</v>
      </c>
      <c r="L172" s="618">
        <v>4.056</v>
      </c>
      <c r="M172" s="618">
        <v>4.8856000000000002</v>
      </c>
      <c r="N172" s="618">
        <v>5.7152000000000003</v>
      </c>
      <c r="O172" s="618">
        <v>6.5448000000000004</v>
      </c>
      <c r="P172" s="618">
        <v>7.3744000000000005</v>
      </c>
      <c r="Q172" s="618">
        <v>8.2040000000000006</v>
      </c>
      <c r="R172" s="618">
        <v>7.1718000000000011</v>
      </c>
      <c r="S172" s="618">
        <v>6.1396000000000015</v>
      </c>
      <c r="T172" s="618">
        <v>5.1074000000000019</v>
      </c>
      <c r="U172" s="618">
        <v>4.0752000000000024</v>
      </c>
      <c r="V172" s="618">
        <v>3.0430000000000001</v>
      </c>
      <c r="W172" s="618">
        <v>2.6398000000000001</v>
      </c>
      <c r="X172" s="618">
        <v>2.2366000000000001</v>
      </c>
      <c r="Y172" s="618">
        <v>1.8334000000000001</v>
      </c>
      <c r="Z172" s="618">
        <v>1.4302000000000001</v>
      </c>
      <c r="AA172" s="618">
        <v>1.0269999999999999</v>
      </c>
      <c r="AB172" s="308">
        <v>1.0269999999999999</v>
      </c>
      <c r="AC172" s="309"/>
      <c r="AD172" s="309"/>
      <c r="AE172" s="309"/>
      <c r="AF172" s="309"/>
      <c r="AG172" s="309"/>
      <c r="AH172" s="309"/>
      <c r="AI172" s="309"/>
      <c r="AJ172" s="309"/>
      <c r="AK172" s="309"/>
      <c r="AL172" s="309"/>
      <c r="AM172" s="309"/>
      <c r="AN172" s="309"/>
      <c r="AO172" s="309"/>
      <c r="AP172" s="163"/>
    </row>
    <row r="173" spans="2:42" x14ac:dyDescent="0.3">
      <c r="B173" s="6"/>
      <c r="C173" s="6"/>
      <c r="D173" s="6">
        <f t="shared" si="12"/>
        <v>4</v>
      </c>
      <c r="E173" s="640" t="str">
        <f t="shared" si="14"/>
        <v>Charge MWh</v>
      </c>
      <c r="F173" s="303"/>
      <c r="G173" s="303"/>
      <c r="H173" s="313"/>
      <c r="I173" s="311"/>
      <c r="J173" s="311"/>
      <c r="K173" s="311"/>
      <c r="L173" s="619"/>
      <c r="M173" s="619"/>
      <c r="N173" s="619"/>
      <c r="O173" s="619"/>
      <c r="P173" s="619"/>
      <c r="Q173" s="619"/>
      <c r="R173" s="619"/>
      <c r="S173" s="619"/>
      <c r="T173" s="619"/>
      <c r="U173" s="619"/>
      <c r="V173" s="619"/>
      <c r="W173" s="619"/>
      <c r="X173" s="619"/>
      <c r="Y173" s="619"/>
      <c r="Z173" s="619"/>
      <c r="AA173" s="619"/>
      <c r="AB173" s="311"/>
      <c r="AC173" s="313"/>
      <c r="AD173" s="313"/>
      <c r="AE173" s="313"/>
      <c r="AF173" s="313"/>
      <c r="AG173" s="313"/>
      <c r="AH173" s="313"/>
      <c r="AI173" s="313"/>
      <c r="AJ173" s="313"/>
      <c r="AK173" s="313"/>
      <c r="AL173" s="313"/>
      <c r="AM173" s="313"/>
      <c r="AN173" s="313"/>
      <c r="AO173" s="313"/>
      <c r="AP173" s="163"/>
    </row>
    <row r="174" spans="2:42" x14ac:dyDescent="0.3">
      <c r="B174" s="6"/>
      <c r="C174" s="6"/>
      <c r="D174" s="6">
        <f t="shared" si="12"/>
        <v>4</v>
      </c>
      <c r="E174" s="641" t="str">
        <f t="shared" si="14"/>
        <v>Total ESS Charge MWh</v>
      </c>
      <c r="F174" s="303"/>
      <c r="G174" s="303"/>
      <c r="H174" s="313"/>
      <c r="I174" s="308">
        <v>840.85108536568157</v>
      </c>
      <c r="J174" s="308">
        <v>780.95256350525472</v>
      </c>
      <c r="K174" s="308">
        <v>666.892011815611</v>
      </c>
      <c r="L174" s="618">
        <v>636.77984001586299</v>
      </c>
      <c r="M174" s="618">
        <v>597.81808918309287</v>
      </c>
      <c r="N174" s="618">
        <v>597.81808918309287</v>
      </c>
      <c r="O174" s="618">
        <v>597.81808918309287</v>
      </c>
      <c r="P174" s="618">
        <v>597.81808918309287</v>
      </c>
      <c r="Q174" s="618">
        <v>597.81808918309287</v>
      </c>
      <c r="R174" s="618">
        <v>494.63336319619066</v>
      </c>
      <c r="S174" s="618">
        <v>494.63336319619066</v>
      </c>
      <c r="T174" s="618">
        <v>494.63336319619066</v>
      </c>
      <c r="U174" s="618">
        <v>494.63336319619066</v>
      </c>
      <c r="V174" s="618">
        <v>494.63336319619066</v>
      </c>
      <c r="W174" s="618">
        <v>525.56965976055449</v>
      </c>
      <c r="X174" s="618">
        <v>525.56965976055449</v>
      </c>
      <c r="Y174" s="618">
        <v>525.56965976055449</v>
      </c>
      <c r="Z174" s="618">
        <v>525.56965976055449</v>
      </c>
      <c r="AA174" s="618">
        <v>525.56965976055449</v>
      </c>
      <c r="AB174" s="308">
        <v>559.81104141321271</v>
      </c>
      <c r="AC174" s="309"/>
      <c r="AD174" s="309"/>
      <c r="AE174" s="309"/>
      <c r="AF174" s="309"/>
      <c r="AG174" s="309"/>
      <c r="AH174" s="309"/>
      <c r="AI174" s="309"/>
      <c r="AJ174" s="309"/>
      <c r="AK174" s="309"/>
      <c r="AL174" s="309"/>
      <c r="AM174" s="309"/>
      <c r="AN174" s="309"/>
      <c r="AO174" s="309"/>
      <c r="AP174" s="163"/>
    </row>
    <row r="175" spans="2:42" x14ac:dyDescent="0.3">
      <c r="B175" s="6"/>
      <c r="C175" s="6"/>
      <c r="D175" s="6">
        <f t="shared" si="12"/>
        <v>4</v>
      </c>
      <c r="E175" s="642" t="str">
        <f t="shared" si="14"/>
        <v>Avg Generation Capacity</v>
      </c>
      <c r="F175" s="303"/>
      <c r="G175" s="303"/>
      <c r="H175" s="313"/>
      <c r="I175" s="308">
        <v>0.21449723904663134</v>
      </c>
      <c r="J175" s="308">
        <v>9.6032946987268122E-2</v>
      </c>
      <c r="K175" s="308">
        <v>0.23168865302939406</v>
      </c>
      <c r="L175" s="308">
        <v>0.14832982288141539</v>
      </c>
      <c r="M175" s="308">
        <v>5.6835067397948837E-2</v>
      </c>
      <c r="N175" s="308">
        <v>5.4220071532373022E-2</v>
      </c>
      <c r="O175" s="308">
        <v>5.1605075666797208E-2</v>
      </c>
      <c r="P175" s="308">
        <v>4.8990079801221394E-2</v>
      </c>
      <c r="Q175" s="308">
        <v>4.6375083935645579E-2</v>
      </c>
      <c r="R175" s="308">
        <v>4.3760088070069765E-2</v>
      </c>
      <c r="S175" s="308">
        <v>5.0837760318894649E-2</v>
      </c>
      <c r="T175" s="308">
        <v>5.7915432567719527E-2</v>
      </c>
      <c r="U175" s="308">
        <v>6.4993104816544411E-2</v>
      </c>
      <c r="V175" s="308">
        <v>7.2070777065369296E-2</v>
      </c>
      <c r="W175" s="308">
        <v>7.914844931419418E-2</v>
      </c>
      <c r="X175" s="308">
        <v>7.0145265570875359E-2</v>
      </c>
      <c r="Y175" s="308">
        <v>6.1142081827556531E-2</v>
      </c>
      <c r="Z175" s="308">
        <v>5.2138898084237703E-2</v>
      </c>
      <c r="AA175" s="308">
        <v>4.3135714340918882E-2</v>
      </c>
      <c r="AB175" s="308">
        <v>3.4132530597600061E-2</v>
      </c>
      <c r="AC175" s="309"/>
      <c r="AD175" s="309"/>
      <c r="AE175" s="309"/>
      <c r="AF175" s="309"/>
      <c r="AG175" s="309"/>
      <c r="AH175" s="309"/>
      <c r="AI175" s="309"/>
      <c r="AJ175" s="309"/>
      <c r="AK175" s="309"/>
      <c r="AL175" s="309"/>
      <c r="AM175" s="309"/>
      <c r="AN175" s="309"/>
      <c r="AO175" s="309"/>
      <c r="AP175" s="163"/>
    </row>
    <row r="176" spans="2:42" x14ac:dyDescent="0.3">
      <c r="B176" s="6"/>
      <c r="C176" s="6"/>
      <c r="D176" s="6">
        <f t="shared" si="12"/>
        <v>4</v>
      </c>
      <c r="E176" s="642" t="str">
        <f t="shared" si="14"/>
        <v>Avg Transmission Capacity</v>
      </c>
      <c r="F176" s="303"/>
      <c r="G176" s="303"/>
      <c r="H176" s="313"/>
      <c r="I176" s="308">
        <v>0.21449723904663134</v>
      </c>
      <c r="J176" s="308">
        <v>9.6032946987268122E-2</v>
      </c>
      <c r="K176" s="308">
        <v>0.23168865302939406</v>
      </c>
      <c r="L176" s="308">
        <v>0.14832982288141539</v>
      </c>
      <c r="M176" s="308">
        <v>5.6835067397948837E-2</v>
      </c>
      <c r="N176" s="308">
        <v>5.4220071532373022E-2</v>
      </c>
      <c r="O176" s="308">
        <v>5.1605075666797208E-2</v>
      </c>
      <c r="P176" s="308">
        <v>4.8990079801221394E-2</v>
      </c>
      <c r="Q176" s="308">
        <v>4.6375083935645579E-2</v>
      </c>
      <c r="R176" s="308">
        <v>4.3760088070069765E-2</v>
      </c>
      <c r="S176" s="308">
        <v>5.0837760318894649E-2</v>
      </c>
      <c r="T176" s="308">
        <v>5.7915432567719527E-2</v>
      </c>
      <c r="U176" s="308">
        <v>6.4993104816544411E-2</v>
      </c>
      <c r="V176" s="308">
        <v>7.2070777065369296E-2</v>
      </c>
      <c r="W176" s="308">
        <v>7.914844931419418E-2</v>
      </c>
      <c r="X176" s="308">
        <v>7.0145265570875359E-2</v>
      </c>
      <c r="Y176" s="308">
        <v>6.1142081827556531E-2</v>
      </c>
      <c r="Z176" s="308">
        <v>5.2138898084237703E-2</v>
      </c>
      <c r="AA176" s="308">
        <v>4.3135714340918882E-2</v>
      </c>
      <c r="AB176" s="308">
        <v>3.4132530597600061E-2</v>
      </c>
      <c r="AC176" s="309"/>
      <c r="AD176" s="309"/>
      <c r="AE176" s="309"/>
      <c r="AF176" s="309"/>
      <c r="AG176" s="309"/>
      <c r="AH176" s="309"/>
      <c r="AI176" s="309"/>
      <c r="AJ176" s="309"/>
      <c r="AK176" s="309"/>
      <c r="AL176" s="309"/>
      <c r="AM176" s="309"/>
      <c r="AN176" s="309"/>
      <c r="AO176" s="309"/>
      <c r="AP176" s="163"/>
    </row>
    <row r="177" spans="2:42" x14ac:dyDescent="0.3">
      <c r="B177" s="6"/>
      <c r="C177" s="6"/>
      <c r="D177" s="6">
        <f t="shared" si="12"/>
        <v>4</v>
      </c>
      <c r="E177" s="642" t="str">
        <f t="shared" si="14"/>
        <v>Avg Distribution Capacity</v>
      </c>
      <c r="F177" s="303"/>
      <c r="G177" s="303"/>
      <c r="H177" s="313"/>
      <c r="I177" s="308">
        <v>0.94115865379573449</v>
      </c>
      <c r="J177" s="308">
        <v>0.61000314514751508</v>
      </c>
      <c r="K177" s="308">
        <v>0.59907064908080609</v>
      </c>
      <c r="L177" s="618">
        <v>0.59340846444721085</v>
      </c>
      <c r="M177" s="618">
        <v>0.39545626094622455</v>
      </c>
      <c r="N177" s="618">
        <v>0.39260715274963648</v>
      </c>
      <c r="O177" s="618">
        <v>0.38975804455304841</v>
      </c>
      <c r="P177" s="618">
        <v>0.3869089363564604</v>
      </c>
      <c r="Q177" s="618">
        <v>0.38405982815987233</v>
      </c>
      <c r="R177" s="618">
        <v>0.38121071996328426</v>
      </c>
      <c r="S177" s="618">
        <v>0.42547480720146114</v>
      </c>
      <c r="T177" s="618">
        <v>0.46973889443963807</v>
      </c>
      <c r="U177" s="618">
        <v>0.51400298167781489</v>
      </c>
      <c r="V177" s="618">
        <v>0.55826706891599187</v>
      </c>
      <c r="W177" s="618">
        <v>0.60253115615416875</v>
      </c>
      <c r="X177" s="618">
        <v>1.0083892725545454</v>
      </c>
      <c r="Y177" s="618">
        <v>1.4142473889549221</v>
      </c>
      <c r="Z177" s="618">
        <v>1.8201055053552988</v>
      </c>
      <c r="AA177" s="618">
        <v>2.2259636217556755</v>
      </c>
      <c r="AB177" s="308">
        <v>2.6318217381560522</v>
      </c>
      <c r="AC177" s="309"/>
      <c r="AD177" s="309"/>
      <c r="AE177" s="309"/>
      <c r="AF177" s="309"/>
      <c r="AG177" s="309"/>
      <c r="AH177" s="309"/>
      <c r="AI177" s="309"/>
      <c r="AJ177" s="309"/>
      <c r="AK177" s="309"/>
      <c r="AL177" s="309"/>
      <c r="AM177" s="309"/>
      <c r="AN177" s="309"/>
      <c r="AO177" s="309"/>
      <c r="AP177" s="163"/>
    </row>
    <row r="178" spans="2:42" x14ac:dyDescent="0.3">
      <c r="B178" s="6"/>
      <c r="C178" s="6"/>
      <c r="D178" s="6">
        <f t="shared" si="12"/>
        <v>4</v>
      </c>
      <c r="E178" s="642" t="str">
        <f t="shared" si="14"/>
        <v>GHG Impacts</v>
      </c>
      <c r="F178" s="303"/>
      <c r="G178" s="303"/>
      <c r="H178" s="313"/>
      <c r="I178" s="308">
        <v>840.69452411064549</v>
      </c>
      <c r="J178" s="308">
        <v>779.71762559110482</v>
      </c>
      <c r="K178" s="308">
        <v>664.42887918470637</v>
      </c>
      <c r="L178" s="618">
        <v>631.30709764857636</v>
      </c>
      <c r="M178" s="618">
        <v>587.27271446417228</v>
      </c>
      <c r="N178" s="618">
        <v>555.41176620177134</v>
      </c>
      <c r="O178" s="618">
        <v>523.55081793937029</v>
      </c>
      <c r="P178" s="618">
        <v>491.68986967696929</v>
      </c>
      <c r="Q178" s="618">
        <v>459.8289214145683</v>
      </c>
      <c r="R178" s="618">
        <v>427.9679731521673</v>
      </c>
      <c r="S178" s="618">
        <v>410.79306170944278</v>
      </c>
      <c r="T178" s="618">
        <v>393.61815026671826</v>
      </c>
      <c r="U178" s="618">
        <v>376.44323882399374</v>
      </c>
      <c r="V178" s="618">
        <v>359.26832738126927</v>
      </c>
      <c r="W178" s="618">
        <v>342.09341593854475</v>
      </c>
      <c r="X178" s="618">
        <v>321.96119136758807</v>
      </c>
      <c r="Y178" s="618">
        <v>301.82896679663145</v>
      </c>
      <c r="Z178" s="618">
        <v>281.69674222567477</v>
      </c>
      <c r="AA178" s="618">
        <v>261.56451765471809</v>
      </c>
      <c r="AB178" s="308">
        <v>241.43229308376144</v>
      </c>
      <c r="AC178" s="309"/>
      <c r="AD178" s="309"/>
      <c r="AE178" s="309"/>
      <c r="AF178" s="309"/>
      <c r="AG178" s="309"/>
      <c r="AH178" s="309"/>
      <c r="AI178" s="309"/>
      <c r="AJ178" s="309"/>
      <c r="AK178" s="309"/>
      <c r="AL178" s="309"/>
      <c r="AM178" s="309"/>
      <c r="AN178" s="309"/>
      <c r="AO178" s="309"/>
      <c r="AP178" s="163"/>
    </row>
    <row r="179" spans="2:42" x14ac:dyDescent="0.3">
      <c r="B179" s="6"/>
      <c r="C179" s="6"/>
      <c r="D179" s="6">
        <f t="shared" si="12"/>
        <v>4</v>
      </c>
      <c r="E179" s="642" t="str">
        <f t="shared" si="14"/>
        <v>Market Price Effects - Wholesale Energy</v>
      </c>
      <c r="F179" s="303"/>
      <c r="G179" s="303"/>
      <c r="H179" s="313"/>
      <c r="I179" s="308">
        <v>840.85108536567861</v>
      </c>
      <c r="J179" s="308">
        <v>780.95256350525312</v>
      </c>
      <c r="K179" s="308">
        <v>666.89201181561248</v>
      </c>
      <c r="L179" s="618">
        <v>636.77984001586447</v>
      </c>
      <c r="M179" s="618">
        <v>597.81808918309309</v>
      </c>
      <c r="N179" s="618">
        <v>577.18114398571265</v>
      </c>
      <c r="O179" s="618">
        <v>556.54419878833221</v>
      </c>
      <c r="P179" s="618">
        <v>535.90725359095177</v>
      </c>
      <c r="Q179" s="618">
        <v>515.27030839357133</v>
      </c>
      <c r="R179" s="618">
        <v>494.63336319619083</v>
      </c>
      <c r="S179" s="618">
        <v>500.82062250906358</v>
      </c>
      <c r="T179" s="618">
        <v>507.00788182193634</v>
      </c>
      <c r="U179" s="618">
        <v>513.19514113480909</v>
      </c>
      <c r="V179" s="618">
        <v>519.3824004476819</v>
      </c>
      <c r="W179" s="618">
        <v>525.5696597605546</v>
      </c>
      <c r="X179" s="618">
        <v>532.41793609108595</v>
      </c>
      <c r="Y179" s="618">
        <v>539.2662124216173</v>
      </c>
      <c r="Z179" s="618">
        <v>546.11448875214876</v>
      </c>
      <c r="AA179" s="618">
        <v>552.96276508268011</v>
      </c>
      <c r="AB179" s="308">
        <v>559.81104141321146</v>
      </c>
      <c r="AC179" s="309"/>
      <c r="AD179" s="309"/>
      <c r="AE179" s="309"/>
      <c r="AF179" s="309"/>
      <c r="AG179" s="309"/>
      <c r="AH179" s="309"/>
      <c r="AI179" s="309"/>
      <c r="AJ179" s="309"/>
      <c r="AK179" s="309"/>
      <c r="AL179" s="309"/>
      <c r="AM179" s="309"/>
      <c r="AN179" s="309"/>
      <c r="AO179" s="309"/>
      <c r="AP179" s="163"/>
    </row>
    <row r="180" spans="2:42" x14ac:dyDescent="0.3">
      <c r="B180" s="6"/>
      <c r="C180" s="6"/>
      <c r="D180" s="6">
        <f t="shared" si="12"/>
        <v>4</v>
      </c>
      <c r="E180" s="643" t="str">
        <f t="shared" si="14"/>
        <v>Market Price Effects - Wholesale Capacity</v>
      </c>
      <c r="F180" s="303"/>
      <c r="H180" s="217"/>
      <c r="I180" s="308">
        <v>0</v>
      </c>
      <c r="J180" s="308">
        <v>0</v>
      </c>
      <c r="K180" s="308">
        <v>0</v>
      </c>
      <c r="L180" s="618">
        <v>0</v>
      </c>
      <c r="M180" s="618">
        <v>0</v>
      </c>
      <c r="N180" s="618">
        <v>0</v>
      </c>
      <c r="O180" s="618">
        <v>0</v>
      </c>
      <c r="P180" s="618">
        <v>0</v>
      </c>
      <c r="Q180" s="618">
        <v>0</v>
      </c>
      <c r="R180" s="618">
        <v>0</v>
      </c>
      <c r="S180" s="618">
        <v>0</v>
      </c>
      <c r="T180" s="618">
        <v>0</v>
      </c>
      <c r="U180" s="618">
        <v>0</v>
      </c>
      <c r="V180" s="618">
        <v>0</v>
      </c>
      <c r="W180" s="618">
        <v>0</v>
      </c>
      <c r="X180" s="618">
        <v>0</v>
      </c>
      <c r="Y180" s="618">
        <v>0</v>
      </c>
      <c r="Z180" s="618">
        <v>0</v>
      </c>
      <c r="AA180" s="618">
        <v>0</v>
      </c>
      <c r="AB180" s="308">
        <v>0</v>
      </c>
      <c r="AC180" s="309"/>
      <c r="AD180" s="309"/>
      <c r="AE180" s="309"/>
      <c r="AF180" s="309"/>
      <c r="AG180" s="309"/>
      <c r="AH180" s="309"/>
      <c r="AI180" s="309"/>
      <c r="AJ180" s="309"/>
      <c r="AK180" s="309"/>
      <c r="AL180" s="309"/>
      <c r="AM180" s="309"/>
      <c r="AN180" s="309"/>
      <c r="AO180" s="309"/>
      <c r="AP180" s="163"/>
    </row>
    <row r="181" spans="2:42" x14ac:dyDescent="0.3">
      <c r="B181" s="6"/>
      <c r="C181" s="6"/>
      <c r="D181" s="6">
        <f t="shared" si="12"/>
        <v>4</v>
      </c>
      <c r="E181" s="640" t="str">
        <f t="shared" si="14"/>
        <v>Disharge MWh</v>
      </c>
      <c r="H181" s="217"/>
      <c r="I181" s="505"/>
      <c r="J181" s="505"/>
      <c r="K181" s="505"/>
      <c r="L181" s="505"/>
      <c r="M181" s="505"/>
      <c r="N181" s="505"/>
      <c r="O181" s="505"/>
      <c r="P181" s="505"/>
      <c r="Q181" s="505"/>
      <c r="R181" s="505"/>
      <c r="S181" s="505"/>
      <c r="T181" s="505"/>
      <c r="U181" s="505"/>
      <c r="V181" s="505"/>
      <c r="W181" s="505"/>
      <c r="X181" s="505"/>
      <c r="Y181" s="505"/>
      <c r="Z181" s="505"/>
      <c r="AA181" s="505"/>
      <c r="AB181" s="505"/>
      <c r="AC181" s="15"/>
      <c r="AD181" s="15"/>
      <c r="AE181" s="15"/>
      <c r="AF181" s="15"/>
      <c r="AG181" s="15"/>
      <c r="AH181" s="15"/>
      <c r="AI181" s="15"/>
      <c r="AJ181" s="15"/>
      <c r="AK181" s="15"/>
      <c r="AL181" s="15"/>
      <c r="AM181" s="15"/>
      <c r="AN181" s="15"/>
      <c r="AO181" s="15"/>
      <c r="AP181" s="163"/>
    </row>
    <row r="182" spans="2:42" x14ac:dyDescent="0.3">
      <c r="B182" s="6"/>
      <c r="C182" s="6"/>
      <c r="D182" s="6">
        <f t="shared" si="12"/>
        <v>4</v>
      </c>
      <c r="E182" s="641" t="str">
        <f t="shared" si="14"/>
        <v>Total ESS DCharge MWh</v>
      </c>
      <c r="H182" s="217"/>
      <c r="I182" s="308">
        <v>716.56304380031224</v>
      </c>
      <c r="J182" s="308">
        <v>665.64647777663993</v>
      </c>
      <c r="K182" s="308">
        <v>568.68963426162304</v>
      </c>
      <c r="L182" s="618">
        <v>543.09286933425699</v>
      </c>
      <c r="M182" s="618">
        <v>509.97354523311827</v>
      </c>
      <c r="N182" s="618">
        <v>509.97354523311827</v>
      </c>
      <c r="O182" s="618">
        <v>509.97354523311827</v>
      </c>
      <c r="P182" s="618">
        <v>509.97354523311827</v>
      </c>
      <c r="Q182" s="618">
        <v>509.97354523311827</v>
      </c>
      <c r="R182" s="618">
        <v>422.26166603868927</v>
      </c>
      <c r="S182" s="618">
        <v>422.26166603868927</v>
      </c>
      <c r="T182" s="618">
        <v>422.26166603868927</v>
      </c>
      <c r="U182" s="618">
        <v>422.26166603868927</v>
      </c>
      <c r="V182" s="618">
        <v>422.26166603868927</v>
      </c>
      <c r="W182" s="618">
        <v>448.55897584906711</v>
      </c>
      <c r="X182" s="618">
        <v>448.55897584906711</v>
      </c>
      <c r="Y182" s="618">
        <v>448.55897584906711</v>
      </c>
      <c r="Z182" s="618">
        <v>448.55897584906711</v>
      </c>
      <c r="AA182" s="618">
        <v>448.55897584906711</v>
      </c>
      <c r="AB182" s="308">
        <v>477.66576372142657</v>
      </c>
      <c r="AC182" s="309"/>
      <c r="AD182" s="309"/>
      <c r="AE182" s="309"/>
      <c r="AF182" s="309"/>
      <c r="AG182" s="309"/>
      <c r="AH182" s="309"/>
      <c r="AI182" s="309"/>
      <c r="AJ182" s="309"/>
      <c r="AK182" s="309"/>
      <c r="AL182" s="309"/>
      <c r="AM182" s="309"/>
      <c r="AN182" s="309"/>
      <c r="AO182" s="309"/>
      <c r="AP182" s="163"/>
    </row>
    <row r="183" spans="2:42" x14ac:dyDescent="0.3">
      <c r="B183" s="6"/>
      <c r="C183" s="6"/>
      <c r="D183" s="6">
        <f t="shared" si="12"/>
        <v>4</v>
      </c>
      <c r="E183" s="642" t="str">
        <f t="shared" si="14"/>
        <v>Avg Generation Capacity</v>
      </c>
      <c r="F183" s="303"/>
      <c r="H183" s="217"/>
      <c r="I183" s="308">
        <v>28.405144475962949</v>
      </c>
      <c r="J183" s="308">
        <v>27.783316031639416</v>
      </c>
      <c r="K183" s="308">
        <v>27.846527087386587</v>
      </c>
      <c r="L183" s="618">
        <v>27.072362489211539</v>
      </c>
      <c r="M183" s="618">
        <v>29.56306062689146</v>
      </c>
      <c r="N183" s="618">
        <v>31.052821727411938</v>
      </c>
      <c r="O183" s="618">
        <v>32.542582827932421</v>
      </c>
      <c r="P183" s="618">
        <v>34.032343928452896</v>
      </c>
      <c r="Q183" s="618">
        <v>35.522105028973371</v>
      </c>
      <c r="R183" s="618">
        <v>37.011866129493853</v>
      </c>
      <c r="S183" s="618">
        <v>36.565387324496399</v>
      </c>
      <c r="T183" s="618">
        <v>36.118908519498937</v>
      </c>
      <c r="U183" s="618">
        <v>35.672429714501483</v>
      </c>
      <c r="V183" s="618">
        <v>35.225950909504022</v>
      </c>
      <c r="W183" s="618">
        <v>34.779472104506567</v>
      </c>
      <c r="X183" s="618">
        <v>33.626890537505894</v>
      </c>
      <c r="Y183" s="618">
        <v>32.47430897050522</v>
      </c>
      <c r="Z183" s="618">
        <v>31.321727403504543</v>
      </c>
      <c r="AA183" s="618">
        <v>30.169145836503866</v>
      </c>
      <c r="AB183" s="308">
        <v>29.016564269503192</v>
      </c>
      <c r="AC183" s="309"/>
      <c r="AD183" s="309"/>
      <c r="AE183" s="309"/>
      <c r="AF183" s="309"/>
      <c r="AG183" s="309"/>
      <c r="AH183" s="309"/>
      <c r="AI183" s="309"/>
      <c r="AJ183" s="309"/>
      <c r="AK183" s="309"/>
      <c r="AL183" s="309"/>
      <c r="AM183" s="309"/>
      <c r="AN183" s="309"/>
      <c r="AO183" s="309"/>
      <c r="AP183" s="163"/>
    </row>
    <row r="184" spans="2:42" x14ac:dyDescent="0.3">
      <c r="B184" s="6"/>
      <c r="C184" s="6"/>
      <c r="D184" s="6">
        <f t="shared" si="12"/>
        <v>4</v>
      </c>
      <c r="E184" s="642" t="str">
        <f t="shared" si="14"/>
        <v>Avg Transmission Capacity</v>
      </c>
      <c r="F184" s="303"/>
      <c r="H184" s="217"/>
      <c r="I184" s="308">
        <v>28.405144475962949</v>
      </c>
      <c r="J184" s="308">
        <v>27.783316031639416</v>
      </c>
      <c r="K184" s="308">
        <v>27.846527087386587</v>
      </c>
      <c r="L184" s="618">
        <v>27.072362489211539</v>
      </c>
      <c r="M184" s="618">
        <v>29.56306062689146</v>
      </c>
      <c r="N184" s="618">
        <v>31.052821727411938</v>
      </c>
      <c r="O184" s="618">
        <v>32.542582827932421</v>
      </c>
      <c r="P184" s="618">
        <v>34.032343928452896</v>
      </c>
      <c r="Q184" s="618">
        <v>35.522105028973371</v>
      </c>
      <c r="R184" s="618">
        <v>37.011866129493853</v>
      </c>
      <c r="S184" s="618">
        <v>36.565387324496399</v>
      </c>
      <c r="T184" s="618">
        <v>36.118908519498937</v>
      </c>
      <c r="U184" s="618">
        <v>35.672429714501483</v>
      </c>
      <c r="V184" s="618">
        <v>35.225950909504022</v>
      </c>
      <c r="W184" s="618">
        <v>34.779472104506567</v>
      </c>
      <c r="X184" s="618">
        <v>33.626890537505894</v>
      </c>
      <c r="Y184" s="618">
        <v>32.47430897050522</v>
      </c>
      <c r="Z184" s="618">
        <v>31.321727403504543</v>
      </c>
      <c r="AA184" s="618">
        <v>30.169145836503866</v>
      </c>
      <c r="AB184" s="308">
        <v>29.016564269503192</v>
      </c>
      <c r="AC184" s="309"/>
      <c r="AD184" s="309"/>
      <c r="AE184" s="309"/>
      <c r="AF184" s="309"/>
      <c r="AG184" s="309"/>
      <c r="AH184" s="309"/>
      <c r="AI184" s="309"/>
      <c r="AJ184" s="309"/>
      <c r="AK184" s="309"/>
      <c r="AL184" s="309"/>
      <c r="AM184" s="309"/>
      <c r="AN184" s="309"/>
      <c r="AO184" s="309"/>
      <c r="AP184" s="163"/>
    </row>
    <row r="185" spans="2:42" x14ac:dyDescent="0.3">
      <c r="B185" s="6"/>
      <c r="C185" s="6"/>
      <c r="D185" s="6">
        <f t="shared" si="12"/>
        <v>4</v>
      </c>
      <c r="E185" s="642" t="str">
        <f t="shared" si="14"/>
        <v>Avg Distribution Capacity</v>
      </c>
      <c r="F185" s="303"/>
      <c r="H185" s="217"/>
      <c r="I185" s="308">
        <v>18.35855519497326</v>
      </c>
      <c r="J185" s="308">
        <v>19.644212748899623</v>
      </c>
      <c r="K185" s="308">
        <v>21.245034439980746</v>
      </c>
      <c r="L185" s="618">
        <v>21.441155407031193</v>
      </c>
      <c r="M185" s="618">
        <v>22.968260996845057</v>
      </c>
      <c r="N185" s="618">
        <v>24.330989785291052</v>
      </c>
      <c r="O185" s="618">
        <v>25.693718573737048</v>
      </c>
      <c r="P185" s="618">
        <v>27.056447362183043</v>
      </c>
      <c r="Q185" s="618">
        <v>28.419176150629035</v>
      </c>
      <c r="R185" s="618">
        <v>29.78190493907503</v>
      </c>
      <c r="S185" s="618">
        <v>29.566823395764839</v>
      </c>
      <c r="T185" s="618">
        <v>29.351741852454648</v>
      </c>
      <c r="U185" s="618">
        <v>29.136660309144453</v>
      </c>
      <c r="V185" s="618">
        <v>28.921578765834262</v>
      </c>
      <c r="W185" s="618">
        <v>28.706497222524071</v>
      </c>
      <c r="X185" s="618">
        <v>27.445465554361423</v>
      </c>
      <c r="Y185" s="618">
        <v>26.184433886198779</v>
      </c>
      <c r="Z185" s="618">
        <v>24.923402218036131</v>
      </c>
      <c r="AA185" s="618">
        <v>23.662370549873486</v>
      </c>
      <c r="AB185" s="308">
        <v>22.401338881710839</v>
      </c>
      <c r="AC185" s="309"/>
      <c r="AD185" s="309"/>
      <c r="AE185" s="309"/>
      <c r="AF185" s="309"/>
      <c r="AG185" s="309"/>
      <c r="AH185" s="309"/>
      <c r="AI185" s="309"/>
      <c r="AJ185" s="309"/>
      <c r="AK185" s="309"/>
      <c r="AL185" s="309"/>
      <c r="AM185" s="309"/>
      <c r="AN185" s="309"/>
      <c r="AO185" s="309"/>
      <c r="AP185" s="163"/>
    </row>
    <row r="186" spans="2:42" x14ac:dyDescent="0.3">
      <c r="B186" s="6"/>
      <c r="C186" s="6"/>
      <c r="D186" s="6">
        <f t="shared" si="12"/>
        <v>4</v>
      </c>
      <c r="E186" s="642" t="str">
        <f t="shared" si="14"/>
        <v>GHG Impacts</v>
      </c>
      <c r="F186" s="303"/>
      <c r="H186" s="217"/>
      <c r="I186" s="308">
        <v>716.52699703358974</v>
      </c>
      <c r="J186" s="308">
        <v>665.31386215319594</v>
      </c>
      <c r="K186" s="308">
        <v>567.38508144897935</v>
      </c>
      <c r="L186" s="618">
        <v>540.09415094553947</v>
      </c>
      <c r="M186" s="618">
        <v>504.27789085397541</v>
      </c>
      <c r="N186" s="618">
        <v>482.59144540136185</v>
      </c>
      <c r="O186" s="618">
        <v>460.9049999487483</v>
      </c>
      <c r="P186" s="618">
        <v>439.21855449613474</v>
      </c>
      <c r="Q186" s="618">
        <v>417.53210904352119</v>
      </c>
      <c r="R186" s="618">
        <v>395.84566359090763</v>
      </c>
      <c r="S186" s="618">
        <v>396.89572378180952</v>
      </c>
      <c r="T186" s="618">
        <v>397.94578397271141</v>
      </c>
      <c r="U186" s="618">
        <v>398.99584416361324</v>
      </c>
      <c r="V186" s="618">
        <v>400.04590435451513</v>
      </c>
      <c r="W186" s="618">
        <v>401.09596454541702</v>
      </c>
      <c r="X186" s="618">
        <v>400.65954033056869</v>
      </c>
      <c r="Y186" s="618">
        <v>400.22311611572042</v>
      </c>
      <c r="Z186" s="618">
        <v>399.78669190087209</v>
      </c>
      <c r="AA186" s="618">
        <v>399.35026768602381</v>
      </c>
      <c r="AB186" s="308">
        <v>398.91384347117548</v>
      </c>
      <c r="AC186" s="309"/>
      <c r="AD186" s="309"/>
      <c r="AE186" s="309"/>
      <c r="AF186" s="309"/>
      <c r="AG186" s="309"/>
      <c r="AH186" s="309"/>
      <c r="AI186" s="309"/>
      <c r="AJ186" s="309"/>
      <c r="AK186" s="309"/>
      <c r="AL186" s="309"/>
      <c r="AM186" s="309"/>
      <c r="AN186" s="309"/>
      <c r="AO186" s="309"/>
      <c r="AP186" s="163"/>
    </row>
    <row r="187" spans="2:42" x14ac:dyDescent="0.3">
      <c r="B187" s="6"/>
      <c r="C187" s="6"/>
      <c r="D187" s="6">
        <f t="shared" si="12"/>
        <v>4</v>
      </c>
      <c r="E187" s="642" t="str">
        <f t="shared" si="14"/>
        <v>Market Price Effects - Wholesale Energy</v>
      </c>
      <c r="F187" s="303"/>
      <c r="H187" s="217"/>
      <c r="I187" s="308">
        <v>716.56304380030747</v>
      </c>
      <c r="J187" s="308">
        <v>665.64647777664129</v>
      </c>
      <c r="K187" s="308">
        <v>568.68963426162247</v>
      </c>
      <c r="L187" s="618">
        <v>543.09286933425983</v>
      </c>
      <c r="M187" s="618">
        <v>509.97354523311407</v>
      </c>
      <c r="N187" s="618">
        <v>492.43116939422936</v>
      </c>
      <c r="O187" s="618">
        <v>474.88879355534471</v>
      </c>
      <c r="P187" s="618">
        <v>457.34641771646</v>
      </c>
      <c r="Q187" s="618">
        <v>439.80404187757529</v>
      </c>
      <c r="R187" s="618">
        <v>422.26166603869063</v>
      </c>
      <c r="S187" s="618">
        <v>427.52112800076662</v>
      </c>
      <c r="T187" s="618">
        <v>432.78058996284267</v>
      </c>
      <c r="U187" s="618">
        <v>438.04005192491866</v>
      </c>
      <c r="V187" s="618">
        <v>443.2995138869947</v>
      </c>
      <c r="W187" s="618">
        <v>448.55897584907069</v>
      </c>
      <c r="X187" s="618">
        <v>454.38033342354242</v>
      </c>
      <c r="Y187" s="618">
        <v>460.20169099801416</v>
      </c>
      <c r="Z187" s="618">
        <v>466.02304857248595</v>
      </c>
      <c r="AA187" s="618">
        <v>471.84440614695768</v>
      </c>
      <c r="AB187" s="308">
        <v>477.66576372142941</v>
      </c>
      <c r="AC187" s="309"/>
      <c r="AD187" s="309"/>
      <c r="AE187" s="309"/>
      <c r="AF187" s="309"/>
      <c r="AG187" s="309"/>
      <c r="AH187" s="309"/>
      <c r="AI187" s="309"/>
      <c r="AJ187" s="309"/>
      <c r="AK187" s="309"/>
      <c r="AL187" s="309"/>
      <c r="AM187" s="309"/>
      <c r="AN187" s="309"/>
      <c r="AO187" s="309"/>
      <c r="AP187" s="163"/>
    </row>
    <row r="188" spans="2:42" x14ac:dyDescent="0.3">
      <c r="B188" s="6"/>
      <c r="C188" s="6"/>
      <c r="D188" s="6">
        <f t="shared" si="12"/>
        <v>4</v>
      </c>
      <c r="E188" s="642" t="str">
        <f t="shared" si="14"/>
        <v>Market Price Effects - Wholesale Capacity</v>
      </c>
      <c r="F188" s="303"/>
      <c r="H188" s="217"/>
      <c r="I188" s="308">
        <v>0</v>
      </c>
      <c r="J188" s="308">
        <v>0</v>
      </c>
      <c r="K188" s="308">
        <v>0</v>
      </c>
      <c r="L188" s="618">
        <v>0</v>
      </c>
      <c r="M188" s="618">
        <v>0</v>
      </c>
      <c r="N188" s="618">
        <v>0</v>
      </c>
      <c r="O188" s="618">
        <v>0</v>
      </c>
      <c r="P188" s="618">
        <v>0</v>
      </c>
      <c r="Q188" s="618">
        <v>0</v>
      </c>
      <c r="R188" s="618">
        <v>0</v>
      </c>
      <c r="S188" s="618">
        <v>0</v>
      </c>
      <c r="T188" s="618">
        <v>0</v>
      </c>
      <c r="U188" s="618">
        <v>0</v>
      </c>
      <c r="V188" s="618">
        <v>0</v>
      </c>
      <c r="W188" s="618">
        <v>0</v>
      </c>
      <c r="X188" s="618">
        <v>0</v>
      </c>
      <c r="Y188" s="618">
        <v>0</v>
      </c>
      <c r="Z188" s="618">
        <v>0</v>
      </c>
      <c r="AA188" s="618">
        <v>0</v>
      </c>
      <c r="AB188" s="308">
        <v>0</v>
      </c>
      <c r="AC188" s="309"/>
      <c r="AD188" s="309"/>
      <c r="AE188" s="309"/>
      <c r="AF188" s="309"/>
      <c r="AG188" s="309"/>
      <c r="AH188" s="309"/>
      <c r="AI188" s="309"/>
      <c r="AJ188" s="309"/>
      <c r="AK188" s="309"/>
      <c r="AL188" s="309"/>
      <c r="AM188" s="309"/>
      <c r="AN188" s="309"/>
      <c r="AO188" s="309"/>
      <c r="AP188" s="163"/>
    </row>
    <row r="189" spans="2:42" x14ac:dyDescent="0.3">
      <c r="B189" s="6"/>
      <c r="C189" s="6"/>
      <c r="D189" s="6">
        <f t="shared" si="12"/>
        <v>4</v>
      </c>
      <c r="E189" s="544"/>
      <c r="F189" s="545"/>
      <c r="G189" s="545"/>
      <c r="H189" s="545"/>
      <c r="I189" s="545"/>
      <c r="J189" s="545"/>
      <c r="K189" s="545"/>
      <c r="L189" s="545"/>
      <c r="M189" s="545"/>
      <c r="N189" s="545"/>
      <c r="O189" s="545"/>
      <c r="P189" s="545"/>
      <c r="Q189" s="545"/>
      <c r="R189" s="545"/>
      <c r="S189" s="545"/>
      <c r="T189" s="545"/>
      <c r="U189" s="545"/>
      <c r="V189" s="545"/>
      <c r="W189" s="545"/>
      <c r="X189" s="545"/>
      <c r="Y189" s="545"/>
      <c r="Z189" s="545"/>
      <c r="AA189" s="545"/>
      <c r="AB189" s="545"/>
      <c r="AC189" s="545"/>
      <c r="AD189" s="545"/>
      <c r="AE189" s="545"/>
      <c r="AF189" s="545"/>
      <c r="AG189" s="545"/>
      <c r="AH189" s="545"/>
      <c r="AI189" s="545"/>
      <c r="AJ189" s="545"/>
      <c r="AK189" s="545"/>
      <c r="AL189" s="545"/>
      <c r="AM189" s="545"/>
      <c r="AN189" s="545"/>
      <c r="AO189" s="545"/>
      <c r="AP189" s="543"/>
    </row>
    <row r="190" spans="2:42" ht="21" x14ac:dyDescent="0.4">
      <c r="B190" s="6"/>
      <c r="C190" s="6"/>
      <c r="D190" s="6">
        <f t="shared" si="12"/>
        <v>5</v>
      </c>
      <c r="E190" s="632" t="str">
        <f>_xlfn.CONCAT(revenueSimulationID," ",$D190,"|",INDEX(StdConfigDesc,$D190,$E$29))</f>
        <v>Case 5|C&amp;I - Medium (1 MW / 2 MWh)</v>
      </c>
      <c r="F190" s="633"/>
      <c r="G190" s="633"/>
      <c r="H190" s="633"/>
      <c r="I190" s="633"/>
      <c r="J190" s="633"/>
      <c r="K190" s="633"/>
      <c r="L190" s="633"/>
      <c r="M190" s="633"/>
      <c r="N190" s="633"/>
      <c r="O190" s="633"/>
      <c r="P190" s="633"/>
      <c r="Q190" s="633"/>
      <c r="R190" s="633"/>
      <c r="S190" s="633"/>
      <c r="T190" s="633"/>
      <c r="U190" s="633"/>
      <c r="V190" s="633"/>
      <c r="W190" s="633"/>
      <c r="X190" s="633"/>
      <c r="Y190" s="633"/>
      <c r="Z190" s="633"/>
      <c r="AA190" s="633"/>
      <c r="AB190" s="633"/>
      <c r="AC190" s="633"/>
      <c r="AD190" s="633"/>
      <c r="AE190" s="633"/>
      <c r="AF190" s="633"/>
      <c r="AG190" s="633"/>
      <c r="AH190" s="633"/>
      <c r="AI190" s="633"/>
      <c r="AJ190" s="633"/>
      <c r="AK190" s="633"/>
      <c r="AL190" s="633"/>
      <c r="AM190" s="633"/>
      <c r="AN190" s="633"/>
      <c r="AO190" s="633"/>
      <c r="AP190" s="634"/>
    </row>
    <row r="191" spans="2:42" ht="25.8" x14ac:dyDescent="0.5">
      <c r="B191" s="6"/>
      <c r="C191" s="6"/>
      <c r="D191" s="6">
        <f t="shared" si="12"/>
        <v>5</v>
      </c>
      <c r="E191" s="635"/>
      <c r="F191" s="2">
        <v>2025</v>
      </c>
      <c r="G191" s="2">
        <f>F191+1</f>
        <v>2026</v>
      </c>
      <c r="H191" s="2">
        <f t="shared" ref="H191:AO191" si="15">G191+1</f>
        <v>2027</v>
      </c>
      <c r="I191" s="2">
        <f t="shared" si="15"/>
        <v>2028</v>
      </c>
      <c r="J191" s="2">
        <f t="shared" si="15"/>
        <v>2029</v>
      </c>
      <c r="K191" s="2">
        <f t="shared" si="15"/>
        <v>2030</v>
      </c>
      <c r="L191" s="2">
        <f t="shared" si="15"/>
        <v>2031</v>
      </c>
      <c r="M191" s="2">
        <f t="shared" si="15"/>
        <v>2032</v>
      </c>
      <c r="N191" s="2">
        <f t="shared" si="15"/>
        <v>2033</v>
      </c>
      <c r="O191" s="2">
        <f t="shared" si="15"/>
        <v>2034</v>
      </c>
      <c r="P191" s="2">
        <f t="shared" si="15"/>
        <v>2035</v>
      </c>
      <c r="Q191" s="2">
        <f t="shared" si="15"/>
        <v>2036</v>
      </c>
      <c r="R191" s="2">
        <f t="shared" si="15"/>
        <v>2037</v>
      </c>
      <c r="S191" s="2">
        <f t="shared" si="15"/>
        <v>2038</v>
      </c>
      <c r="T191" s="2">
        <f t="shared" si="15"/>
        <v>2039</v>
      </c>
      <c r="U191" s="2">
        <f t="shared" si="15"/>
        <v>2040</v>
      </c>
      <c r="V191" s="2">
        <f t="shared" si="15"/>
        <v>2041</v>
      </c>
      <c r="W191" s="2">
        <f t="shared" si="15"/>
        <v>2042</v>
      </c>
      <c r="X191" s="2">
        <f t="shared" si="15"/>
        <v>2043</v>
      </c>
      <c r="Y191" s="2">
        <f t="shared" si="15"/>
        <v>2044</v>
      </c>
      <c r="Z191" s="2">
        <f t="shared" si="15"/>
        <v>2045</v>
      </c>
      <c r="AA191" s="2">
        <f t="shared" si="15"/>
        <v>2046</v>
      </c>
      <c r="AB191" s="2">
        <f t="shared" si="15"/>
        <v>2047</v>
      </c>
      <c r="AC191" s="2">
        <f t="shared" si="15"/>
        <v>2048</v>
      </c>
      <c r="AD191" s="2">
        <f t="shared" si="15"/>
        <v>2049</v>
      </c>
      <c r="AE191" s="2">
        <f t="shared" si="15"/>
        <v>2050</v>
      </c>
      <c r="AF191" s="2">
        <f t="shared" si="15"/>
        <v>2051</v>
      </c>
      <c r="AG191" s="2">
        <f t="shared" si="15"/>
        <v>2052</v>
      </c>
      <c r="AH191" s="2">
        <f t="shared" si="15"/>
        <v>2053</v>
      </c>
      <c r="AI191" s="2">
        <f t="shared" si="15"/>
        <v>2054</v>
      </c>
      <c r="AJ191" s="2">
        <f t="shared" si="15"/>
        <v>2055</v>
      </c>
      <c r="AK191" s="2">
        <f t="shared" si="15"/>
        <v>2056</v>
      </c>
      <c r="AL191" s="2">
        <f t="shared" si="15"/>
        <v>2057</v>
      </c>
      <c r="AM191" s="2">
        <f t="shared" si="15"/>
        <v>2058</v>
      </c>
      <c r="AN191" s="2">
        <f t="shared" si="15"/>
        <v>2059</v>
      </c>
      <c r="AO191" s="2">
        <f t="shared" si="15"/>
        <v>2060</v>
      </c>
      <c r="AP191" s="163"/>
    </row>
    <row r="192" spans="2:42" x14ac:dyDescent="0.3">
      <c r="B192" s="6"/>
      <c r="C192" s="6"/>
      <c r="D192" s="6">
        <f t="shared" si="12"/>
        <v>5</v>
      </c>
      <c r="E192" s="636" t="str">
        <f>E152</f>
        <v>Capacity - PJM Market</v>
      </c>
      <c r="F192" s="302"/>
      <c r="G192" s="302"/>
      <c r="H192" s="302"/>
      <c r="I192" s="302">
        <v>0</v>
      </c>
      <c r="J192" s="302">
        <v>0</v>
      </c>
      <c r="K192" s="302">
        <v>0</v>
      </c>
      <c r="L192" s="302">
        <v>0</v>
      </c>
      <c r="M192" s="302">
        <v>0</v>
      </c>
      <c r="N192" s="302">
        <v>0</v>
      </c>
      <c r="O192" s="302">
        <v>0</v>
      </c>
      <c r="P192" s="302">
        <v>0</v>
      </c>
      <c r="Q192" s="302">
        <v>0</v>
      </c>
      <c r="R192" s="302">
        <v>0</v>
      </c>
      <c r="S192" s="302">
        <v>0</v>
      </c>
      <c r="T192" s="302">
        <v>0</v>
      </c>
      <c r="U192" s="302">
        <v>0</v>
      </c>
      <c r="V192" s="302">
        <v>0</v>
      </c>
      <c r="W192" s="302">
        <v>0</v>
      </c>
      <c r="X192" s="302">
        <v>0</v>
      </c>
      <c r="Y192" s="302">
        <v>0</v>
      </c>
      <c r="Z192" s="302">
        <v>0</v>
      </c>
      <c r="AA192" s="302">
        <v>0</v>
      </c>
      <c r="AB192" s="302">
        <v>0</v>
      </c>
      <c r="AC192" s="302">
        <v>0</v>
      </c>
      <c r="AD192" s="302">
        <v>0</v>
      </c>
      <c r="AE192" s="302">
        <v>0</v>
      </c>
      <c r="AF192" s="302">
        <v>0</v>
      </c>
      <c r="AG192" s="302">
        <v>0</v>
      </c>
      <c r="AH192" s="302">
        <v>0</v>
      </c>
      <c r="AI192" s="302">
        <v>0</v>
      </c>
      <c r="AJ192" s="302">
        <v>0</v>
      </c>
      <c r="AK192" s="302">
        <v>0</v>
      </c>
      <c r="AL192" s="302">
        <v>0</v>
      </c>
      <c r="AM192" s="302">
        <v>0</v>
      </c>
      <c r="AN192" s="302">
        <v>0</v>
      </c>
      <c r="AO192" s="302">
        <v>0</v>
      </c>
      <c r="AP192" s="163"/>
    </row>
    <row r="193" spans="2:42" x14ac:dyDescent="0.3">
      <c r="B193" s="6"/>
      <c r="C193" s="6"/>
      <c r="D193" s="6">
        <f t="shared" si="12"/>
        <v>5</v>
      </c>
      <c r="E193" s="636" t="str">
        <f t="shared" ref="E193:E228" si="16">E153</f>
        <v>Energy Arbitrage - PJM Market</v>
      </c>
      <c r="F193" s="303"/>
      <c r="G193" s="304"/>
      <c r="H193" s="304"/>
      <c r="I193" s="304">
        <v>0</v>
      </c>
      <c r="J193" s="304">
        <v>0</v>
      </c>
      <c r="K193" s="304">
        <v>0</v>
      </c>
      <c r="L193" s="304">
        <v>0</v>
      </c>
      <c r="M193" s="304">
        <v>0</v>
      </c>
      <c r="N193" s="304">
        <v>0</v>
      </c>
      <c r="O193" s="304">
        <v>0</v>
      </c>
      <c r="P193" s="304">
        <v>0</v>
      </c>
      <c r="Q193" s="304">
        <v>0</v>
      </c>
      <c r="R193" s="304">
        <v>0</v>
      </c>
      <c r="S193" s="304">
        <v>0</v>
      </c>
      <c r="T193" s="304">
        <v>0</v>
      </c>
      <c r="U193" s="304">
        <v>0</v>
      </c>
      <c r="V193" s="304">
        <v>0</v>
      </c>
      <c r="W193" s="304">
        <v>0</v>
      </c>
      <c r="X193" s="304">
        <v>0</v>
      </c>
      <c r="Y193" s="304">
        <v>0</v>
      </c>
      <c r="Z193" s="304">
        <v>0</v>
      </c>
      <c r="AA193" s="304">
        <v>0</v>
      </c>
      <c r="AB193" s="304"/>
      <c r="AC193" s="304">
        <v>0</v>
      </c>
      <c r="AD193" s="304">
        <v>0</v>
      </c>
      <c r="AE193" s="304">
        <v>0</v>
      </c>
      <c r="AF193" s="304">
        <v>0</v>
      </c>
      <c r="AG193" s="304">
        <v>0</v>
      </c>
      <c r="AH193" s="304">
        <v>0</v>
      </c>
      <c r="AI193" s="304">
        <v>0</v>
      </c>
      <c r="AJ193" s="304">
        <v>0</v>
      </c>
      <c r="AK193" s="304">
        <v>0</v>
      </c>
      <c r="AL193" s="304">
        <v>0</v>
      </c>
      <c r="AM193" s="304">
        <v>0</v>
      </c>
      <c r="AN193" s="304">
        <v>0</v>
      </c>
      <c r="AO193" s="304">
        <v>0</v>
      </c>
      <c r="AP193" s="163"/>
    </row>
    <row r="194" spans="2:42" x14ac:dyDescent="0.3">
      <c r="B194" s="6"/>
      <c r="C194" s="6"/>
      <c r="D194" s="6">
        <f t="shared" si="12"/>
        <v>5</v>
      </c>
      <c r="E194" s="636" t="str">
        <f t="shared" si="16"/>
        <v>Spin- PJM Market</v>
      </c>
      <c r="F194" s="303"/>
      <c r="G194" s="304"/>
      <c r="H194" s="304"/>
      <c r="I194" s="304">
        <v>12343.575191533128</v>
      </c>
      <c r="J194" s="304">
        <v>11684.676208865429</v>
      </c>
      <c r="K194" s="304">
        <v>11656.478691866027</v>
      </c>
      <c r="L194" s="304">
        <v>10984.664858206925</v>
      </c>
      <c r="M194" s="304">
        <v>10559.554864577214</v>
      </c>
      <c r="N194" s="304">
        <v>10800.407515753135</v>
      </c>
      <c r="O194" s="304">
        <v>11041.260166929056</v>
      </c>
      <c r="P194" s="304">
        <v>11282.112818104975</v>
      </c>
      <c r="Q194" s="304">
        <v>11522.965469280896</v>
      </c>
      <c r="R194" s="304">
        <v>11763.818120456817</v>
      </c>
      <c r="S194" s="304">
        <v>12375.433255339198</v>
      </c>
      <c r="T194" s="304">
        <v>12987.048390221578</v>
      </c>
      <c r="U194" s="304">
        <v>13598.663525103959</v>
      </c>
      <c r="V194" s="304">
        <v>14210.278659986338</v>
      </c>
      <c r="W194" s="304">
        <v>14821.893794868718</v>
      </c>
      <c r="X194" s="304">
        <v>15507.243336610996</v>
      </c>
      <c r="Y194" s="304">
        <v>16192.592878353275</v>
      </c>
      <c r="Z194" s="304">
        <v>16877.942420095555</v>
      </c>
      <c r="AA194" s="304">
        <v>17563.291961837833</v>
      </c>
      <c r="AB194" s="304">
        <v>18248.641503580111</v>
      </c>
      <c r="AC194" s="304">
        <v>0</v>
      </c>
      <c r="AD194" s="304">
        <v>0</v>
      </c>
      <c r="AE194" s="304">
        <v>0</v>
      </c>
      <c r="AF194" s="304">
        <v>0</v>
      </c>
      <c r="AG194" s="304">
        <v>0</v>
      </c>
      <c r="AH194" s="304">
        <v>0</v>
      </c>
      <c r="AI194" s="304">
        <v>0</v>
      </c>
      <c r="AJ194" s="304">
        <v>0</v>
      </c>
      <c r="AK194" s="304">
        <v>0</v>
      </c>
      <c r="AL194" s="304">
        <v>0</v>
      </c>
      <c r="AM194" s="304">
        <v>0</v>
      </c>
      <c r="AN194" s="304">
        <v>0</v>
      </c>
      <c r="AO194" s="304">
        <v>0</v>
      </c>
      <c r="AP194" s="163"/>
    </row>
    <row r="195" spans="2:42" x14ac:dyDescent="0.3">
      <c r="B195" s="6"/>
      <c r="C195" s="6"/>
      <c r="D195" s="6">
        <f t="shared" si="12"/>
        <v>5</v>
      </c>
      <c r="E195" s="636" t="str">
        <f t="shared" si="16"/>
        <v>Non-Spin - PJM Market</v>
      </c>
      <c r="F195" s="303"/>
      <c r="G195" s="304"/>
      <c r="H195" s="304"/>
      <c r="I195" s="304">
        <v>0</v>
      </c>
      <c r="J195" s="304">
        <v>0</v>
      </c>
      <c r="K195" s="304">
        <v>0</v>
      </c>
      <c r="L195" s="304">
        <v>0</v>
      </c>
      <c r="M195" s="304">
        <v>0</v>
      </c>
      <c r="N195" s="304">
        <v>0</v>
      </c>
      <c r="O195" s="304">
        <v>0</v>
      </c>
      <c r="P195" s="304">
        <v>0</v>
      </c>
      <c r="Q195" s="304">
        <v>0</v>
      </c>
      <c r="R195" s="304">
        <v>0</v>
      </c>
      <c r="S195" s="304">
        <v>0</v>
      </c>
      <c r="T195" s="304">
        <v>0</v>
      </c>
      <c r="U195" s="304">
        <v>0</v>
      </c>
      <c r="V195" s="304">
        <v>0</v>
      </c>
      <c r="W195" s="304">
        <v>0</v>
      </c>
      <c r="X195" s="304">
        <v>0</v>
      </c>
      <c r="Y195" s="304">
        <v>0</v>
      </c>
      <c r="Z195" s="304">
        <v>0</v>
      </c>
      <c r="AA195" s="304">
        <v>0</v>
      </c>
      <c r="AB195" s="304"/>
      <c r="AC195" s="304">
        <v>0</v>
      </c>
      <c r="AD195" s="304">
        <v>0</v>
      </c>
      <c r="AE195" s="304">
        <v>0</v>
      </c>
      <c r="AF195" s="304">
        <v>0</v>
      </c>
      <c r="AG195" s="304">
        <v>0</v>
      </c>
      <c r="AH195" s="304">
        <v>0</v>
      </c>
      <c r="AI195" s="304">
        <v>0</v>
      </c>
      <c r="AJ195" s="304">
        <v>0</v>
      </c>
      <c r="AK195" s="304">
        <v>0</v>
      </c>
      <c r="AL195" s="304">
        <v>0</v>
      </c>
      <c r="AM195" s="304">
        <v>0</v>
      </c>
      <c r="AN195" s="304">
        <v>0</v>
      </c>
      <c r="AO195" s="304">
        <v>0</v>
      </c>
      <c r="AP195" s="163"/>
    </row>
    <row r="196" spans="2:42" x14ac:dyDescent="0.3">
      <c r="B196" s="6"/>
      <c r="C196" s="6"/>
      <c r="D196" s="6">
        <f t="shared" si="12"/>
        <v>5</v>
      </c>
      <c r="E196" s="636" t="str">
        <f t="shared" si="16"/>
        <v>Regulation - PJM Market</v>
      </c>
      <c r="F196" s="303"/>
      <c r="G196" s="304"/>
      <c r="H196" s="304"/>
      <c r="I196" s="304">
        <v>123066.15810307607</v>
      </c>
      <c r="J196" s="304">
        <v>73868.527857717912</v>
      </c>
      <c r="K196" s="304">
        <v>56706.491836992827</v>
      </c>
      <c r="L196" s="304">
        <v>44051.824129089262</v>
      </c>
      <c r="M196" s="304">
        <v>32150.251669088506</v>
      </c>
      <c r="N196" s="304">
        <v>28659.44020844188</v>
      </c>
      <c r="O196" s="304">
        <v>25168.628747795254</v>
      </c>
      <c r="P196" s="304">
        <v>21677.817287148628</v>
      </c>
      <c r="Q196" s="304">
        <v>18187.005826502002</v>
      </c>
      <c r="R196" s="304">
        <v>14696.194365855374</v>
      </c>
      <c r="S196" s="304">
        <v>15069.554123635491</v>
      </c>
      <c r="T196" s="304">
        <v>15442.91388141561</v>
      </c>
      <c r="U196" s="304">
        <v>15816.273639195728</v>
      </c>
      <c r="V196" s="304">
        <v>16189.633396975847</v>
      </c>
      <c r="W196" s="304">
        <v>16562.993154755964</v>
      </c>
      <c r="X196" s="304">
        <v>16557.542534087075</v>
      </c>
      <c r="Y196" s="304">
        <v>16552.091913418182</v>
      </c>
      <c r="Z196" s="304">
        <v>16546.641292749293</v>
      </c>
      <c r="AA196" s="304">
        <v>16541.1906720804</v>
      </c>
      <c r="AB196" s="304">
        <v>16535.740051411511</v>
      </c>
      <c r="AC196" s="304"/>
      <c r="AD196" s="304"/>
      <c r="AE196" s="304"/>
      <c r="AF196" s="304"/>
      <c r="AG196" s="304"/>
      <c r="AH196" s="304"/>
      <c r="AI196" s="304"/>
      <c r="AJ196" s="304"/>
      <c r="AK196" s="304"/>
      <c r="AL196" s="304"/>
      <c r="AM196" s="304"/>
      <c r="AN196" s="304"/>
      <c r="AO196" s="304"/>
      <c r="AP196" s="163"/>
    </row>
    <row r="197" spans="2:42" x14ac:dyDescent="0.3">
      <c r="B197" s="6"/>
      <c r="C197" s="6"/>
      <c r="D197" s="6">
        <f t="shared" si="12"/>
        <v>5</v>
      </c>
      <c r="E197" s="636" t="str">
        <f t="shared" si="16"/>
        <v>Incurred Energy Charges</v>
      </c>
      <c r="F197" s="303"/>
      <c r="G197" s="304"/>
      <c r="H197" s="304"/>
      <c r="I197" s="304"/>
      <c r="J197" s="304"/>
      <c r="K197" s="304"/>
      <c r="L197" s="304"/>
      <c r="M197" s="304"/>
      <c r="N197" s="304"/>
      <c r="O197" s="304"/>
      <c r="P197" s="304"/>
      <c r="Q197" s="304"/>
      <c r="R197" s="304"/>
      <c r="S197" s="304"/>
      <c r="T197" s="304"/>
      <c r="U197" s="304"/>
      <c r="V197" s="304"/>
      <c r="W197" s="304"/>
      <c r="X197" s="304"/>
      <c r="Y197" s="304"/>
      <c r="Z197" s="304"/>
      <c r="AA197" s="304"/>
      <c r="AB197" s="304"/>
      <c r="AC197" s="304"/>
      <c r="AD197" s="304"/>
      <c r="AE197" s="304"/>
      <c r="AF197" s="304"/>
      <c r="AG197" s="304"/>
      <c r="AH197" s="304"/>
      <c r="AI197" s="304"/>
      <c r="AJ197" s="304"/>
      <c r="AK197" s="304"/>
      <c r="AL197" s="304"/>
      <c r="AM197" s="304"/>
      <c r="AN197" s="304"/>
      <c r="AO197" s="304"/>
      <c r="AP197" s="163"/>
    </row>
    <row r="198" spans="2:42" x14ac:dyDescent="0.3">
      <c r="B198" s="6"/>
      <c r="C198" s="6"/>
      <c r="D198" s="6">
        <f t="shared" si="12"/>
        <v>5</v>
      </c>
      <c r="E198" s="636" t="str">
        <f t="shared" si="16"/>
        <v>As Used Demand Charges</v>
      </c>
      <c r="F198" s="303"/>
      <c r="G198" s="304"/>
      <c r="H198" s="304"/>
      <c r="I198" s="304">
        <v>0</v>
      </c>
      <c r="J198" s="304">
        <v>0</v>
      </c>
      <c r="K198" s="304">
        <v>0</v>
      </c>
      <c r="L198" s="304">
        <v>0</v>
      </c>
      <c r="M198" s="304">
        <v>0</v>
      </c>
      <c r="N198" s="304">
        <v>0</v>
      </c>
      <c r="O198" s="304">
        <v>0</v>
      </c>
      <c r="P198" s="304">
        <v>0</v>
      </c>
      <c r="Q198" s="304">
        <v>0</v>
      </c>
      <c r="R198" s="304">
        <v>0</v>
      </c>
      <c r="S198" s="304">
        <v>0</v>
      </c>
      <c r="T198" s="304">
        <v>0</v>
      </c>
      <c r="U198" s="304">
        <v>0</v>
      </c>
      <c r="V198" s="304">
        <v>0</v>
      </c>
      <c r="W198" s="304">
        <v>0</v>
      </c>
      <c r="X198" s="304">
        <v>0</v>
      </c>
      <c r="Y198" s="304">
        <v>0</v>
      </c>
      <c r="Z198" s="304">
        <v>0</v>
      </c>
      <c r="AA198" s="304">
        <v>0</v>
      </c>
      <c r="AB198" s="304"/>
      <c r="AC198" s="304">
        <v>0</v>
      </c>
      <c r="AD198" s="304">
        <v>0</v>
      </c>
      <c r="AE198" s="304">
        <v>0</v>
      </c>
      <c r="AF198" s="304">
        <v>0</v>
      </c>
      <c r="AG198" s="304">
        <v>0</v>
      </c>
      <c r="AH198" s="304">
        <v>0</v>
      </c>
      <c r="AI198" s="304">
        <v>0</v>
      </c>
      <c r="AJ198" s="304">
        <v>0</v>
      </c>
      <c r="AK198" s="304">
        <v>0</v>
      </c>
      <c r="AL198" s="304">
        <v>0</v>
      </c>
      <c r="AM198" s="304">
        <v>0</v>
      </c>
      <c r="AN198" s="304">
        <v>0</v>
      </c>
      <c r="AO198" s="304">
        <v>0</v>
      </c>
      <c r="AP198" s="163"/>
    </row>
    <row r="199" spans="2:42" x14ac:dyDescent="0.3">
      <c r="B199" s="6"/>
      <c r="C199" s="6"/>
      <c r="D199" s="6">
        <f t="shared" ref="D199:D262" si="17">D159+1</f>
        <v>5</v>
      </c>
      <c r="E199" s="636" t="str">
        <f t="shared" si="16"/>
        <v>Contract Demand Charges  Fixed</v>
      </c>
      <c r="F199" s="303"/>
      <c r="G199" s="304"/>
      <c r="H199" s="304"/>
      <c r="I199" s="304">
        <v>0</v>
      </c>
      <c r="J199" s="304">
        <v>0</v>
      </c>
      <c r="K199" s="304">
        <v>0</v>
      </c>
      <c r="L199" s="304">
        <v>0</v>
      </c>
      <c r="M199" s="304">
        <v>0</v>
      </c>
      <c r="N199" s="304">
        <v>0</v>
      </c>
      <c r="O199" s="304">
        <v>0</v>
      </c>
      <c r="P199" s="304">
        <v>0</v>
      </c>
      <c r="Q199" s="304">
        <v>0</v>
      </c>
      <c r="R199" s="304">
        <v>0</v>
      </c>
      <c r="S199" s="304">
        <v>0</v>
      </c>
      <c r="T199" s="304">
        <v>0</v>
      </c>
      <c r="U199" s="304">
        <v>0</v>
      </c>
      <c r="V199" s="304">
        <v>0</v>
      </c>
      <c r="W199" s="304">
        <v>0</v>
      </c>
      <c r="X199" s="304">
        <v>0</v>
      </c>
      <c r="Y199" s="304">
        <v>0</v>
      </c>
      <c r="Z199" s="304">
        <v>0</v>
      </c>
      <c r="AA199" s="304">
        <v>0</v>
      </c>
      <c r="AB199" s="304"/>
      <c r="AC199" s="304">
        <v>0</v>
      </c>
      <c r="AD199" s="304">
        <v>0</v>
      </c>
      <c r="AE199" s="304">
        <v>0</v>
      </c>
      <c r="AF199" s="304">
        <v>0</v>
      </c>
      <c r="AG199" s="304">
        <v>0</v>
      </c>
      <c r="AH199" s="304">
        <v>0</v>
      </c>
      <c r="AI199" s="304">
        <v>0</v>
      </c>
      <c r="AJ199" s="304">
        <v>0</v>
      </c>
      <c r="AK199" s="304">
        <v>0</v>
      </c>
      <c r="AL199" s="304">
        <v>0</v>
      </c>
      <c r="AM199" s="304">
        <v>0</v>
      </c>
      <c r="AN199" s="304">
        <v>0</v>
      </c>
      <c r="AO199" s="304">
        <v>0</v>
      </c>
      <c r="AP199" s="163"/>
    </row>
    <row r="200" spans="2:42" x14ac:dyDescent="0.3">
      <c r="B200" s="6"/>
      <c r="C200" s="6"/>
      <c r="D200" s="6">
        <f t="shared" si="17"/>
        <v>5</v>
      </c>
      <c r="E200" s="636" t="str">
        <f t="shared" si="16"/>
        <v>Customer Charges/ Fixed Charges</v>
      </c>
      <c r="F200" s="303"/>
      <c r="G200" s="304"/>
      <c r="H200" s="304"/>
      <c r="I200" s="304"/>
      <c r="J200" s="304"/>
      <c r="K200" s="304"/>
      <c r="L200" s="304"/>
      <c r="M200" s="304"/>
      <c r="N200" s="304"/>
      <c r="O200" s="304"/>
      <c r="P200" s="304"/>
      <c r="Q200" s="304"/>
      <c r="R200" s="304"/>
      <c r="S200" s="304"/>
      <c r="T200" s="304"/>
      <c r="U200" s="304"/>
      <c r="V200" s="304"/>
      <c r="W200" s="304"/>
      <c r="X200" s="304"/>
      <c r="Y200" s="304"/>
      <c r="Z200" s="304"/>
      <c r="AA200" s="304"/>
      <c r="AB200" s="304"/>
      <c r="AC200" s="304"/>
      <c r="AD200" s="304"/>
      <c r="AE200" s="304"/>
      <c r="AF200" s="304"/>
      <c r="AG200" s="304"/>
      <c r="AH200" s="304"/>
      <c r="AI200" s="304"/>
      <c r="AJ200" s="304"/>
      <c r="AK200" s="304"/>
      <c r="AL200" s="304"/>
      <c r="AM200" s="304"/>
      <c r="AN200" s="304"/>
      <c r="AO200" s="304"/>
      <c r="AP200" s="163"/>
    </row>
    <row r="201" spans="2:42" x14ac:dyDescent="0.3">
      <c r="B201" s="6"/>
      <c r="C201" s="6"/>
      <c r="D201" s="6">
        <f t="shared" si="17"/>
        <v>5</v>
      </c>
      <c r="E201" s="637" t="str">
        <f t="shared" si="16"/>
        <v>Energy Savings</v>
      </c>
      <c r="F201" s="303"/>
      <c r="G201" s="304"/>
      <c r="H201" s="304"/>
      <c r="I201" s="304">
        <v>-93.578471649903804</v>
      </c>
      <c r="J201" s="304">
        <v>-7897.7552749908355</v>
      </c>
      <c r="K201" s="304">
        <v>414.87075339243165</v>
      </c>
      <c r="L201" s="617">
        <v>845.03653840729385</v>
      </c>
      <c r="M201" s="617">
        <v>4237.8748028430564</v>
      </c>
      <c r="N201" s="617">
        <v>5275.7170791145645</v>
      </c>
      <c r="O201" s="617">
        <v>6313.5593553860726</v>
      </c>
      <c r="P201" s="617">
        <v>7351.4016316575817</v>
      </c>
      <c r="Q201" s="617">
        <v>8389.2439079290889</v>
      </c>
      <c r="R201" s="617">
        <v>9427.0861842005979</v>
      </c>
      <c r="S201" s="617">
        <v>11537.304221967619</v>
      </c>
      <c r="T201" s="617">
        <v>13647.52225973464</v>
      </c>
      <c r="U201" s="617">
        <v>15757.740297501663</v>
      </c>
      <c r="V201" s="617">
        <v>17867.958335268682</v>
      </c>
      <c r="W201" s="617">
        <v>19978.176373035705</v>
      </c>
      <c r="X201" s="617">
        <v>19214.931201169024</v>
      </c>
      <c r="Y201" s="617">
        <v>18451.686029302342</v>
      </c>
      <c r="Z201" s="617">
        <v>17688.440857435657</v>
      </c>
      <c r="AA201" s="617">
        <v>16925.195685568975</v>
      </c>
      <c r="AB201" s="304">
        <v>16161.950513702293</v>
      </c>
      <c r="AC201" s="304"/>
      <c r="AD201" s="304"/>
      <c r="AE201" s="304"/>
      <c r="AF201" s="304"/>
      <c r="AG201" s="304"/>
      <c r="AH201" s="304"/>
      <c r="AI201" s="304"/>
      <c r="AJ201" s="304"/>
      <c r="AK201" s="304"/>
      <c r="AL201" s="304"/>
      <c r="AM201" s="304"/>
      <c r="AN201" s="304"/>
      <c r="AO201" s="304"/>
      <c r="AP201" s="163"/>
    </row>
    <row r="202" spans="2:42" x14ac:dyDescent="0.3">
      <c r="B202" s="6"/>
      <c r="C202" s="6"/>
      <c r="D202" s="6">
        <f t="shared" si="17"/>
        <v>5</v>
      </c>
      <c r="E202" s="637" t="str">
        <f t="shared" si="16"/>
        <v xml:space="preserve">Demand Savings </v>
      </c>
      <c r="F202" s="303"/>
      <c r="G202" s="304"/>
      <c r="H202" s="304"/>
      <c r="I202" s="304">
        <v>69562.675142613065</v>
      </c>
      <c r="J202" s="304">
        <v>73587.508597926528</v>
      </c>
      <c r="K202" s="304">
        <v>91024.049089993525</v>
      </c>
      <c r="L202" s="617">
        <v>93539.929759017905</v>
      </c>
      <c r="M202" s="617">
        <v>86489.681303455669</v>
      </c>
      <c r="N202" s="617">
        <v>87886.455936640894</v>
      </c>
      <c r="O202" s="617">
        <v>89283.230569826119</v>
      </c>
      <c r="P202" s="617">
        <v>90680.005203011344</v>
      </c>
      <c r="Q202" s="617">
        <v>92076.779836196569</v>
      </c>
      <c r="R202" s="617">
        <v>93473.554469381808</v>
      </c>
      <c r="S202" s="617">
        <v>93906.075661872674</v>
      </c>
      <c r="T202" s="617">
        <v>94338.596854363539</v>
      </c>
      <c r="U202" s="617">
        <v>94771.118046854404</v>
      </c>
      <c r="V202" s="617">
        <v>95203.63923934527</v>
      </c>
      <c r="W202" s="617">
        <v>95636.160431836106</v>
      </c>
      <c r="X202" s="617">
        <v>87502.031241189266</v>
      </c>
      <c r="Y202" s="617">
        <v>79367.902050542427</v>
      </c>
      <c r="Z202" s="617">
        <v>71233.772859895587</v>
      </c>
      <c r="AA202" s="617">
        <v>63099.643669248748</v>
      </c>
      <c r="AB202" s="304">
        <v>54965.514478601901</v>
      </c>
      <c r="AC202" s="304">
        <v>0</v>
      </c>
      <c r="AD202" s="304">
        <v>0</v>
      </c>
      <c r="AE202" s="304">
        <v>0</v>
      </c>
      <c r="AF202" s="304">
        <v>0</v>
      </c>
      <c r="AG202" s="304">
        <v>0</v>
      </c>
      <c r="AH202" s="304">
        <v>0</v>
      </c>
      <c r="AI202" s="304">
        <v>0</v>
      </c>
      <c r="AJ202" s="304">
        <v>0</v>
      </c>
      <c r="AK202" s="304">
        <v>0</v>
      </c>
      <c r="AL202" s="304">
        <v>0</v>
      </c>
      <c r="AM202" s="304">
        <v>0</v>
      </c>
      <c r="AN202" s="304">
        <v>0</v>
      </c>
      <c r="AO202" s="304">
        <v>0</v>
      </c>
      <c r="AP202" s="163"/>
    </row>
    <row r="203" spans="2:42" x14ac:dyDescent="0.3">
      <c r="B203" s="6"/>
      <c r="C203" s="6"/>
      <c r="D203" s="6">
        <f t="shared" si="17"/>
        <v>5</v>
      </c>
      <c r="E203" s="638" t="str">
        <f t="shared" si="16"/>
        <v>Energy Generation - Export</v>
      </c>
      <c r="F203" s="303"/>
      <c r="G203" s="304"/>
      <c r="H203" s="304"/>
      <c r="I203" s="304">
        <v>2501.5507799432294</v>
      </c>
      <c r="J203" s="304">
        <v>6081.6775041912788</v>
      </c>
      <c r="K203" s="304">
        <v>3103.8568164932517</v>
      </c>
      <c r="L203" s="617">
        <v>3435.622718952935</v>
      </c>
      <c r="M203" s="617">
        <v>4928.4742344781134</v>
      </c>
      <c r="N203" s="617">
        <v>5585.6015964265334</v>
      </c>
      <c r="O203" s="617">
        <v>6242.7289583749525</v>
      </c>
      <c r="P203" s="617">
        <v>6899.8563203233725</v>
      </c>
      <c r="Q203" s="617">
        <v>7556.9836822717916</v>
      </c>
      <c r="R203" s="617">
        <v>8214.1110442202116</v>
      </c>
      <c r="S203" s="617">
        <v>9084.050798877106</v>
      </c>
      <c r="T203" s="617">
        <v>9953.9905535340004</v>
      </c>
      <c r="U203" s="617">
        <v>10823.930308190895</v>
      </c>
      <c r="V203" s="617">
        <v>11693.870062847791</v>
      </c>
      <c r="W203" s="617">
        <v>12563.809817504685</v>
      </c>
      <c r="X203" s="617">
        <v>13747.200027103756</v>
      </c>
      <c r="Y203" s="617">
        <v>14930.590236702828</v>
      </c>
      <c r="Z203" s="617">
        <v>16113.980446301899</v>
      </c>
      <c r="AA203" s="617">
        <v>17297.37065590097</v>
      </c>
      <c r="AB203" s="304">
        <v>18480.76086550004</v>
      </c>
      <c r="AC203" s="304">
        <v>0</v>
      </c>
      <c r="AD203" s="304">
        <v>0</v>
      </c>
      <c r="AE203" s="304">
        <v>0</v>
      </c>
      <c r="AF203" s="304">
        <v>0</v>
      </c>
      <c r="AG203" s="304">
        <v>0</v>
      </c>
      <c r="AH203" s="304">
        <v>0</v>
      </c>
      <c r="AI203" s="304">
        <v>0</v>
      </c>
      <c r="AJ203" s="304">
        <v>0</v>
      </c>
      <c r="AK203" s="304">
        <v>0</v>
      </c>
      <c r="AL203" s="304">
        <v>0</v>
      </c>
      <c r="AM203" s="304">
        <v>0</v>
      </c>
      <c r="AN203" s="304">
        <v>0</v>
      </c>
      <c r="AO203" s="304">
        <v>0</v>
      </c>
      <c r="AP203" s="163"/>
    </row>
    <row r="204" spans="2:42" x14ac:dyDescent="0.3">
      <c r="B204" s="6"/>
      <c r="C204" s="6"/>
      <c r="D204" s="6">
        <f t="shared" si="17"/>
        <v>5</v>
      </c>
      <c r="E204" s="638" t="str">
        <f t="shared" si="16"/>
        <v>Generation Capacity</v>
      </c>
      <c r="F204" s="303"/>
      <c r="G204" s="304"/>
      <c r="H204" s="304"/>
      <c r="I204" s="304">
        <v>14464.093850458408</v>
      </c>
      <c r="J204" s="304">
        <v>14270.341062039595</v>
      </c>
      <c r="K204" s="304">
        <v>2733.1676488342114</v>
      </c>
      <c r="L204" s="617">
        <v>4137.9792759211496</v>
      </c>
      <c r="M204" s="617">
        <v>8385.9560202212269</v>
      </c>
      <c r="N204" s="617">
        <v>8868.4861051578846</v>
      </c>
      <c r="O204" s="617">
        <v>9351.0161900945404</v>
      </c>
      <c r="P204" s="617">
        <v>9833.5462750311981</v>
      </c>
      <c r="Q204" s="617">
        <v>10316.076359967856</v>
      </c>
      <c r="R204" s="617">
        <v>10798.606444904513</v>
      </c>
      <c r="S204" s="617">
        <v>11877.318994135916</v>
      </c>
      <c r="T204" s="617">
        <v>12817.952411783508</v>
      </c>
      <c r="U204" s="617">
        <v>13758.5858294311</v>
      </c>
      <c r="V204" s="617">
        <v>14699.219247078692</v>
      </c>
      <c r="W204" s="617">
        <v>15639.852664726288</v>
      </c>
      <c r="X204" s="617">
        <v>17998.527028763041</v>
      </c>
      <c r="Y204" s="617">
        <v>20357.201392799794</v>
      </c>
      <c r="Z204" s="617">
        <v>22715.875756836547</v>
      </c>
      <c r="AA204" s="617">
        <v>25074.5501208733</v>
      </c>
      <c r="AB204" s="304">
        <v>27433.224484910061</v>
      </c>
      <c r="AC204" s="304">
        <v>0</v>
      </c>
      <c r="AD204" s="304">
        <v>0</v>
      </c>
      <c r="AE204" s="304">
        <v>0</v>
      </c>
      <c r="AF204" s="304">
        <v>0</v>
      </c>
      <c r="AG204" s="304">
        <v>0</v>
      </c>
      <c r="AH204" s="304">
        <v>0</v>
      </c>
      <c r="AI204" s="304">
        <v>0</v>
      </c>
      <c r="AJ204" s="304">
        <v>0</v>
      </c>
      <c r="AK204" s="304">
        <v>0</v>
      </c>
      <c r="AL204" s="304">
        <v>0</v>
      </c>
      <c r="AM204" s="304">
        <v>0</v>
      </c>
      <c r="AN204" s="304">
        <v>0</v>
      </c>
      <c r="AO204" s="304">
        <v>0</v>
      </c>
      <c r="AP204" s="163"/>
    </row>
    <row r="205" spans="2:42" x14ac:dyDescent="0.3">
      <c r="B205" s="6"/>
      <c r="C205" s="6"/>
      <c r="D205" s="6">
        <f t="shared" si="17"/>
        <v>5</v>
      </c>
      <c r="E205" s="638" t="str">
        <f t="shared" si="16"/>
        <v>Transmission Capacity</v>
      </c>
      <c r="F205" s="303"/>
      <c r="G205" s="304"/>
      <c r="H205" s="304"/>
      <c r="I205" s="304">
        <v>4929.095248630937</v>
      </c>
      <c r="J205" s="304">
        <v>4863.0678874510386</v>
      </c>
      <c r="K205" s="304">
        <v>931.41290500915375</v>
      </c>
      <c r="L205" s="617">
        <v>1410.1466845245754</v>
      </c>
      <c r="M205" s="617">
        <v>2857.7784686588175</v>
      </c>
      <c r="N205" s="617">
        <v>3022.215783126836</v>
      </c>
      <c r="O205" s="617">
        <v>3186.653097594854</v>
      </c>
      <c r="P205" s="617">
        <v>3351.0904120628725</v>
      </c>
      <c r="Q205" s="617">
        <v>3515.527726530891</v>
      </c>
      <c r="R205" s="617">
        <v>3679.9650409989094</v>
      </c>
      <c r="S205" s="617">
        <v>3962.2139189814998</v>
      </c>
      <c r="T205" s="617">
        <v>4215.190877930193</v>
      </c>
      <c r="U205" s="617">
        <v>4468.1678368788844</v>
      </c>
      <c r="V205" s="617">
        <v>4721.1447958275767</v>
      </c>
      <c r="W205" s="617">
        <v>4974.1217547762662</v>
      </c>
      <c r="X205" s="617">
        <v>5309.0143304519306</v>
      </c>
      <c r="Y205" s="617">
        <v>5643.9069061275941</v>
      </c>
      <c r="Z205" s="617">
        <v>5978.7994818032585</v>
      </c>
      <c r="AA205" s="617">
        <v>6313.6920574789228</v>
      </c>
      <c r="AB205" s="304">
        <v>6648.5846331545827</v>
      </c>
      <c r="AC205" s="304">
        <v>0</v>
      </c>
      <c r="AD205" s="304">
        <v>0</v>
      </c>
      <c r="AE205" s="304">
        <v>0</v>
      </c>
      <c r="AF205" s="304">
        <v>0</v>
      </c>
      <c r="AG205" s="304">
        <v>0</v>
      </c>
      <c r="AH205" s="304">
        <v>0</v>
      </c>
      <c r="AI205" s="304">
        <v>0</v>
      </c>
      <c r="AJ205" s="304">
        <v>0</v>
      </c>
      <c r="AK205" s="304">
        <v>0</v>
      </c>
      <c r="AL205" s="304">
        <v>0</v>
      </c>
      <c r="AM205" s="304">
        <v>0</v>
      </c>
      <c r="AN205" s="304">
        <v>0</v>
      </c>
      <c r="AO205" s="304">
        <v>0</v>
      </c>
      <c r="AP205" s="163"/>
    </row>
    <row r="206" spans="2:42" x14ac:dyDescent="0.3">
      <c r="B206" s="6"/>
      <c r="C206" s="6"/>
      <c r="D206" s="6">
        <f t="shared" si="17"/>
        <v>5</v>
      </c>
      <c r="E206" s="638" t="str">
        <f t="shared" si="16"/>
        <v>Distribution Capacity</v>
      </c>
      <c r="F206" s="303"/>
      <c r="G206" s="304"/>
      <c r="H206" s="304"/>
      <c r="I206" s="304">
        <v>614.88731151548564</v>
      </c>
      <c r="J206" s="304">
        <v>882.7678201115757</v>
      </c>
      <c r="K206" s="304">
        <v>111.36116257423802</v>
      </c>
      <c r="L206" s="617">
        <v>210.07294738849836</v>
      </c>
      <c r="M206" s="617">
        <v>626.87758144250358</v>
      </c>
      <c r="N206" s="617">
        <v>673.07899802400425</v>
      </c>
      <c r="O206" s="617">
        <v>719.2804146055048</v>
      </c>
      <c r="P206" s="617">
        <v>765.48183118700547</v>
      </c>
      <c r="Q206" s="617">
        <v>811.68324776850602</v>
      </c>
      <c r="R206" s="617">
        <v>857.8846643500068</v>
      </c>
      <c r="S206" s="617">
        <v>911.41617406073112</v>
      </c>
      <c r="T206" s="617">
        <v>958.12372480567637</v>
      </c>
      <c r="U206" s="617">
        <v>1004.8312755506214</v>
      </c>
      <c r="V206" s="617">
        <v>1051.5388262955669</v>
      </c>
      <c r="W206" s="617">
        <v>1098.2463770405122</v>
      </c>
      <c r="X206" s="617">
        <v>1236.5978126484258</v>
      </c>
      <c r="Y206" s="617">
        <v>1374.9492482563392</v>
      </c>
      <c r="Z206" s="617">
        <v>1513.3006838642525</v>
      </c>
      <c r="AA206" s="617">
        <v>1651.6521194721661</v>
      </c>
      <c r="AB206" s="304">
        <v>1790.0035550800799</v>
      </c>
      <c r="AC206" s="304">
        <v>0</v>
      </c>
      <c r="AD206" s="304">
        <v>0</v>
      </c>
      <c r="AE206" s="304">
        <v>0</v>
      </c>
      <c r="AF206" s="304">
        <v>0</v>
      </c>
      <c r="AG206" s="304">
        <v>0</v>
      </c>
      <c r="AH206" s="304">
        <v>0</v>
      </c>
      <c r="AI206" s="304">
        <v>0</v>
      </c>
      <c r="AJ206" s="304">
        <v>0</v>
      </c>
      <c r="AK206" s="304">
        <v>0</v>
      </c>
      <c r="AL206" s="304">
        <v>0</v>
      </c>
      <c r="AM206" s="304">
        <v>0</v>
      </c>
      <c r="AN206" s="304">
        <v>0</v>
      </c>
      <c r="AO206" s="304">
        <v>0</v>
      </c>
      <c r="AP206" s="163"/>
    </row>
    <row r="207" spans="2:42" x14ac:dyDescent="0.3">
      <c r="B207" s="6"/>
      <c r="C207" s="6"/>
      <c r="D207" s="6">
        <f t="shared" si="17"/>
        <v>5</v>
      </c>
      <c r="E207" s="638" t="str">
        <f t="shared" si="16"/>
        <v>GHG Impacts</v>
      </c>
      <c r="F207" s="303"/>
      <c r="G207" s="304"/>
      <c r="H207" s="304"/>
      <c r="I207" s="304">
        <v>21887.049759665493</v>
      </c>
      <c r="J207" s="304">
        <v>36081.57870769679</v>
      </c>
      <c r="K207" s="304">
        <v>14519.431869429585</v>
      </c>
      <c r="L207" s="617">
        <v>17643.925600818948</v>
      </c>
      <c r="M207" s="617">
        <v>23165.941840705764</v>
      </c>
      <c r="N207" s="617">
        <v>29258.829655019017</v>
      </c>
      <c r="O207" s="617">
        <v>35351.717469332274</v>
      </c>
      <c r="P207" s="617">
        <v>41444.605283645527</v>
      </c>
      <c r="Q207" s="617">
        <v>47537.493097958781</v>
      </c>
      <c r="R207" s="617">
        <v>53630.380912272034</v>
      </c>
      <c r="S207" s="617">
        <v>61277.445552711688</v>
      </c>
      <c r="T207" s="617">
        <v>68924.510193151349</v>
      </c>
      <c r="U207" s="617">
        <v>76571.574833591003</v>
      </c>
      <c r="V207" s="617">
        <v>84218.639474030657</v>
      </c>
      <c r="W207" s="617">
        <v>91865.704114470311</v>
      </c>
      <c r="X207" s="617">
        <v>100584.14743809214</v>
      </c>
      <c r="Y207" s="617">
        <v>109302.59076171397</v>
      </c>
      <c r="Z207" s="617">
        <v>118021.03408533579</v>
      </c>
      <c r="AA207" s="617">
        <v>126739.47740895762</v>
      </c>
      <c r="AB207" s="304">
        <v>135457.92073257946</v>
      </c>
      <c r="AC207" s="304">
        <v>0</v>
      </c>
      <c r="AD207" s="304">
        <v>0</v>
      </c>
      <c r="AE207" s="304">
        <v>0</v>
      </c>
      <c r="AF207" s="304">
        <v>0</v>
      </c>
      <c r="AG207" s="304">
        <v>0</v>
      </c>
      <c r="AH207" s="304">
        <v>0</v>
      </c>
      <c r="AI207" s="304">
        <v>0</v>
      </c>
      <c r="AJ207" s="304">
        <v>0</v>
      </c>
      <c r="AK207" s="304">
        <v>0</v>
      </c>
      <c r="AL207" s="304">
        <v>0</v>
      </c>
      <c r="AM207" s="304">
        <v>0</v>
      </c>
      <c r="AN207" s="304">
        <v>0</v>
      </c>
      <c r="AO207" s="304">
        <v>0</v>
      </c>
      <c r="AP207" s="163"/>
    </row>
    <row r="208" spans="2:42" x14ac:dyDescent="0.3">
      <c r="B208" s="6"/>
      <c r="C208" s="6"/>
      <c r="D208" s="6">
        <f t="shared" si="17"/>
        <v>5</v>
      </c>
      <c r="E208" s="638" t="str">
        <f t="shared" si="16"/>
        <v>Market Price Effects - Wholesale Energy</v>
      </c>
      <c r="F208" s="303"/>
      <c r="G208" s="304"/>
      <c r="H208" s="304"/>
      <c r="I208" s="304">
        <v>2039.3519164819793</v>
      </c>
      <c r="J208" s="304">
        <v>3620.4978566943414</v>
      </c>
      <c r="K208" s="304">
        <v>5192.8380978909345</v>
      </c>
      <c r="L208" s="617">
        <v>5578.3500566262674</v>
      </c>
      <c r="M208" s="617">
        <v>10340.120438567757</v>
      </c>
      <c r="N208" s="617">
        <v>9624.4185840811515</v>
      </c>
      <c r="O208" s="617">
        <v>8908.7167295945455</v>
      </c>
      <c r="P208" s="617">
        <v>8193.0148751079396</v>
      </c>
      <c r="Q208" s="617">
        <v>7477.3130206213355</v>
      </c>
      <c r="R208" s="617">
        <v>6761.6111661347295</v>
      </c>
      <c r="S208" s="617">
        <v>8242.2343499641065</v>
      </c>
      <c r="T208" s="617">
        <v>9722.8575337934853</v>
      </c>
      <c r="U208" s="617">
        <v>11203.480717622862</v>
      </c>
      <c r="V208" s="617">
        <v>12684.103901452239</v>
      </c>
      <c r="W208" s="617">
        <v>14164.727085281618</v>
      </c>
      <c r="X208" s="617">
        <v>14868.476090752807</v>
      </c>
      <c r="Y208" s="617">
        <v>15572.225096223994</v>
      </c>
      <c r="Z208" s="617">
        <v>16275.974101695183</v>
      </c>
      <c r="AA208" s="617">
        <v>16979.72310716637</v>
      </c>
      <c r="AB208" s="304">
        <v>17683.472112637559</v>
      </c>
      <c r="AC208" s="304">
        <v>0</v>
      </c>
      <c r="AD208" s="304">
        <v>0</v>
      </c>
      <c r="AE208" s="304">
        <v>0</v>
      </c>
      <c r="AF208" s="304">
        <v>0</v>
      </c>
      <c r="AG208" s="304">
        <v>0</v>
      </c>
      <c r="AH208" s="304">
        <v>0</v>
      </c>
      <c r="AI208" s="304">
        <v>0</v>
      </c>
      <c r="AJ208" s="304">
        <v>0</v>
      </c>
      <c r="AK208" s="304">
        <v>0</v>
      </c>
      <c r="AL208" s="304">
        <v>0</v>
      </c>
      <c r="AM208" s="304">
        <v>0</v>
      </c>
      <c r="AN208" s="304">
        <v>0</v>
      </c>
      <c r="AO208" s="304">
        <v>0</v>
      </c>
      <c r="AP208" s="163"/>
    </row>
    <row r="209" spans="2:42" x14ac:dyDescent="0.3">
      <c r="B209" s="6"/>
      <c r="C209" s="6"/>
      <c r="D209" s="6">
        <f t="shared" si="17"/>
        <v>5</v>
      </c>
      <c r="E209" s="638" t="str">
        <f t="shared" si="16"/>
        <v>Market Price Effects - Wholesale Capacity</v>
      </c>
      <c r="F209" s="303"/>
      <c r="G209" s="304"/>
      <c r="H209" s="304"/>
      <c r="I209" s="304">
        <v>0</v>
      </c>
      <c r="J209" s="304">
        <v>0</v>
      </c>
      <c r="K209" s="304">
        <v>0</v>
      </c>
      <c r="L209" s="617">
        <v>0</v>
      </c>
      <c r="M209" s="617">
        <v>0</v>
      </c>
      <c r="N209" s="617">
        <v>0</v>
      </c>
      <c r="O209" s="617">
        <v>0</v>
      </c>
      <c r="P209" s="617">
        <v>0</v>
      </c>
      <c r="Q209" s="617">
        <v>0</v>
      </c>
      <c r="R209" s="617">
        <v>0</v>
      </c>
      <c r="S209" s="617">
        <v>0</v>
      </c>
      <c r="T209" s="617">
        <v>0</v>
      </c>
      <c r="U209" s="617">
        <v>0</v>
      </c>
      <c r="V209" s="617">
        <v>0</v>
      </c>
      <c r="W209" s="617">
        <v>0</v>
      </c>
      <c r="X209" s="617">
        <v>0</v>
      </c>
      <c r="Y209" s="617">
        <v>0</v>
      </c>
      <c r="Z209" s="617">
        <v>0</v>
      </c>
      <c r="AA209" s="617">
        <v>0</v>
      </c>
      <c r="AB209" s="304"/>
      <c r="AC209" s="304">
        <v>0</v>
      </c>
      <c r="AD209" s="304">
        <v>0</v>
      </c>
      <c r="AE209" s="304">
        <v>0</v>
      </c>
      <c r="AF209" s="304">
        <v>0</v>
      </c>
      <c r="AG209" s="304">
        <v>0</v>
      </c>
      <c r="AH209" s="304">
        <v>0</v>
      </c>
      <c r="AI209" s="304">
        <v>0</v>
      </c>
      <c r="AJ209" s="304">
        <v>0</v>
      </c>
      <c r="AK209" s="304">
        <v>0</v>
      </c>
      <c r="AL209" s="304">
        <v>0</v>
      </c>
      <c r="AM209" s="304">
        <v>0</v>
      </c>
      <c r="AN209" s="304">
        <v>0</v>
      </c>
      <c r="AO209" s="304">
        <v>0</v>
      </c>
      <c r="AP209" s="163"/>
    </row>
    <row r="210" spans="2:42" x14ac:dyDescent="0.3">
      <c r="B210" s="6"/>
      <c r="C210" s="6"/>
      <c r="D210" s="6">
        <f t="shared" si="17"/>
        <v>5</v>
      </c>
      <c r="E210" s="639" t="str">
        <f t="shared" si="16"/>
        <v>Avoided Cost of Participant Backup Generator</v>
      </c>
      <c r="F210" s="303"/>
      <c r="G210" s="303"/>
      <c r="H210" s="304"/>
      <c r="I210" s="303"/>
      <c r="J210" s="303"/>
      <c r="K210" s="303"/>
      <c r="L210" s="303"/>
      <c r="M210" s="303"/>
      <c r="N210" s="303"/>
      <c r="O210" s="303"/>
      <c r="P210" s="303"/>
      <c r="Q210" s="303"/>
      <c r="R210" s="303"/>
      <c r="S210" s="303"/>
      <c r="T210" s="303"/>
      <c r="U210" s="303"/>
      <c r="V210" s="303"/>
      <c r="W210" s="303"/>
      <c r="X210" s="303"/>
      <c r="Y210" s="303"/>
      <c r="Z210" s="303"/>
      <c r="AA210" s="303"/>
      <c r="AB210" s="303"/>
      <c r="AC210" s="303" cm="1">
        <f t="array" ref="AC210">IF(AC$31=Inputs!$E$5,INDEX(Inputs!$BV$10:$BV$25,$D210)*INDEX(StdConfigDesc,$D210,$L$29)*1000,0)</f>
        <v>0</v>
      </c>
      <c r="AD210" s="303" cm="1">
        <f t="array" ref="AD210">IF(AD$31=Inputs!$E$5,INDEX(Inputs!$BV$10:$BV$25,$D210)*INDEX(StdConfigDesc,$D210,$L$29)*1000,0)</f>
        <v>0</v>
      </c>
      <c r="AE210" s="303" cm="1">
        <f t="array" ref="AE210">IF(AE$31=Inputs!$E$5,INDEX(Inputs!$BV$10:$BV$25,$D210)*INDEX(StdConfigDesc,$D210,$L$29)*1000,0)</f>
        <v>0</v>
      </c>
      <c r="AF210" s="303" cm="1">
        <f t="array" ref="AF210">IF(AF$31=Inputs!$E$5,INDEX(Inputs!$BV$10:$BV$25,$D210)*INDEX(StdConfigDesc,$D210,$L$29)*1000,0)</f>
        <v>0</v>
      </c>
      <c r="AG210" s="303" cm="1">
        <f t="array" ref="AG210">IF(AG$31=Inputs!$E$5,INDEX(Inputs!$BV$10:$BV$25,$D210)*INDEX(StdConfigDesc,$D210,$L$29)*1000,0)</f>
        <v>0</v>
      </c>
      <c r="AH210" s="303" cm="1">
        <f t="array" ref="AH210">IF(AH$31=Inputs!$E$5,INDEX(Inputs!$BV$10:$BV$25,$D210)*INDEX(StdConfigDesc,$D210,$L$29)*1000,0)</f>
        <v>0</v>
      </c>
      <c r="AI210" s="303" cm="1">
        <f t="array" ref="AI210">IF(AI$31=Inputs!$E$5,INDEX(Inputs!$BV$10:$BV$25,$D210)*INDEX(StdConfigDesc,$D210,$L$29)*1000,0)</f>
        <v>0</v>
      </c>
      <c r="AJ210" s="303" cm="1">
        <f t="array" ref="AJ210">IF(AJ$31=Inputs!$E$5,INDEX(Inputs!$BV$10:$BV$25,$D210)*INDEX(StdConfigDesc,$D210,$L$29)*1000,0)</f>
        <v>0</v>
      </c>
      <c r="AK210" s="303" cm="1">
        <f t="array" ref="AK210">IF(AK$31=Inputs!$E$5,INDEX(Inputs!$BV$10:$BV$25,$D210)*INDEX(StdConfigDesc,$D210,$L$29)*1000,0)</f>
        <v>0</v>
      </c>
      <c r="AL210" s="303" cm="1">
        <f t="array" ref="AL210">IF(AL$31=Inputs!$E$5,INDEX(Inputs!$BV$10:$BV$25,$D210)*INDEX(StdConfigDesc,$D210,$L$29)*1000,0)</f>
        <v>0</v>
      </c>
      <c r="AM210" s="303" cm="1">
        <f t="array" ref="AM210">IF(AM$31=Inputs!$E$5,INDEX(Inputs!$BV$10:$BV$25,$D210)*INDEX(StdConfigDesc,$D210,$L$29)*1000,0)</f>
        <v>0</v>
      </c>
      <c r="AN210" s="303" cm="1">
        <f t="array" ref="AN210">IF(AN$31=Inputs!$E$5,INDEX(Inputs!$BV$10:$BV$25,$D210)*INDEX(StdConfigDesc,$D210,$L$29)*1000,0)</f>
        <v>0</v>
      </c>
      <c r="AO210" s="303" cm="1">
        <f t="array" ref="AO210">IF(AO$31=Inputs!$E$5,INDEX(Inputs!$BV$10:$BV$25,$D210)*INDEX(StdConfigDesc,$D210,$L$29)*1000,0)</f>
        <v>0</v>
      </c>
      <c r="AP210" s="163"/>
    </row>
    <row r="211" spans="2:42" x14ac:dyDescent="0.3">
      <c r="B211" s="6"/>
      <c r="C211" s="6"/>
      <c r="D211" s="6">
        <f t="shared" si="17"/>
        <v>5</v>
      </c>
      <c r="E211" s="640" t="str">
        <f t="shared" si="16"/>
        <v>Full Eq DoD Cycle</v>
      </c>
      <c r="F211" s="303"/>
      <c r="G211" s="313"/>
      <c r="H211" s="313"/>
      <c r="I211" s="308">
        <v>365.00000000001</v>
      </c>
      <c r="J211" s="308">
        <v>364.99999999999966</v>
      </c>
      <c r="K211" s="308">
        <v>364.99999999999358</v>
      </c>
      <c r="L211" s="618">
        <v>364.99999999999517</v>
      </c>
      <c r="M211" s="618">
        <v>341.70347840473181</v>
      </c>
      <c r="N211" s="618">
        <v>341.70347840473181</v>
      </c>
      <c r="O211" s="618">
        <v>341.70347840473181</v>
      </c>
      <c r="P211" s="618">
        <v>341.70347840473181</v>
      </c>
      <c r="Q211" s="618">
        <v>341.70347840473181</v>
      </c>
      <c r="R211" s="618">
        <v>344.11524413716273</v>
      </c>
      <c r="S211" s="618">
        <v>344.11524413716273</v>
      </c>
      <c r="T211" s="618">
        <v>344.11524413716273</v>
      </c>
      <c r="U211" s="618">
        <v>344.11524413716273</v>
      </c>
      <c r="V211" s="618">
        <v>344.11524413716273</v>
      </c>
      <c r="W211" s="618">
        <v>365.00000000000034</v>
      </c>
      <c r="X211" s="618">
        <v>365.00000000000034</v>
      </c>
      <c r="Y211" s="618">
        <v>365.00000000000034</v>
      </c>
      <c r="Z211" s="618">
        <v>365.00000000000034</v>
      </c>
      <c r="AA211" s="618">
        <v>365.00000000000034</v>
      </c>
      <c r="AB211" s="308">
        <v>364.99999999999829</v>
      </c>
      <c r="AC211" s="309"/>
      <c r="AD211" s="309"/>
      <c r="AE211" s="309"/>
      <c r="AF211" s="309"/>
      <c r="AG211" s="309"/>
      <c r="AH211" s="309"/>
      <c r="AI211" s="309"/>
      <c r="AJ211" s="309"/>
      <c r="AK211" s="309"/>
      <c r="AL211" s="309"/>
      <c r="AM211" s="309"/>
      <c r="AN211" s="309"/>
      <c r="AO211" s="309"/>
      <c r="AP211" s="163"/>
    </row>
    <row r="212" spans="2:42" x14ac:dyDescent="0.3">
      <c r="B212" s="6"/>
      <c r="C212" s="6"/>
      <c r="D212" s="6">
        <f t="shared" si="17"/>
        <v>5</v>
      </c>
      <c r="E212" s="640" t="str">
        <f t="shared" si="16"/>
        <v>Export MWh</v>
      </c>
      <c r="F212" s="303"/>
      <c r="G212" s="313"/>
      <c r="H212" s="313"/>
      <c r="I212" s="308">
        <v>62.05</v>
      </c>
      <c r="J212" s="308">
        <v>152.71</v>
      </c>
      <c r="K212" s="308">
        <v>70.765000000000001</v>
      </c>
      <c r="L212" s="618">
        <v>71.62</v>
      </c>
      <c r="M212" s="618">
        <v>86.45</v>
      </c>
      <c r="N212" s="618">
        <v>95.1738</v>
      </c>
      <c r="O212" s="618">
        <v>103.8976</v>
      </c>
      <c r="P212" s="618">
        <v>112.62139999999999</v>
      </c>
      <c r="Q212" s="618">
        <v>121.34519999999999</v>
      </c>
      <c r="R212" s="618">
        <v>130.06899999999999</v>
      </c>
      <c r="S212" s="618">
        <v>138.0812</v>
      </c>
      <c r="T212" s="618">
        <v>146.0934</v>
      </c>
      <c r="U212" s="618">
        <v>154.10560000000001</v>
      </c>
      <c r="V212" s="618">
        <v>162.11780000000002</v>
      </c>
      <c r="W212" s="618">
        <v>170.13</v>
      </c>
      <c r="X212" s="618">
        <v>182.596</v>
      </c>
      <c r="Y212" s="618">
        <v>195.06200000000001</v>
      </c>
      <c r="Z212" s="618">
        <v>207.52800000000002</v>
      </c>
      <c r="AA212" s="618">
        <v>219.99400000000003</v>
      </c>
      <c r="AB212" s="308">
        <v>232.46</v>
      </c>
      <c r="AC212" s="309"/>
      <c r="AD212" s="309"/>
      <c r="AE212" s="309"/>
      <c r="AF212" s="309"/>
      <c r="AG212" s="309"/>
      <c r="AH212" s="309"/>
      <c r="AI212" s="309"/>
      <c r="AJ212" s="309"/>
      <c r="AK212" s="309"/>
      <c r="AL212" s="309"/>
      <c r="AM212" s="309"/>
      <c r="AN212" s="309"/>
      <c r="AO212" s="309"/>
      <c r="AP212" s="163"/>
    </row>
    <row r="213" spans="2:42" x14ac:dyDescent="0.3">
      <c r="B213" s="6"/>
      <c r="C213" s="6"/>
      <c r="D213" s="6">
        <f t="shared" si="17"/>
        <v>5</v>
      </c>
      <c r="E213" s="640" t="str">
        <f t="shared" si="16"/>
        <v>Charge MWh</v>
      </c>
      <c r="F213" s="303"/>
      <c r="G213" s="313"/>
      <c r="H213" s="313"/>
      <c r="I213" s="311"/>
      <c r="J213" s="311"/>
      <c r="K213" s="311"/>
      <c r="L213" s="619"/>
      <c r="M213" s="619"/>
      <c r="N213" s="619"/>
      <c r="O213" s="619"/>
      <c r="P213" s="619"/>
      <c r="Q213" s="619"/>
      <c r="R213" s="619"/>
      <c r="S213" s="619"/>
      <c r="T213" s="619"/>
      <c r="U213" s="619"/>
      <c r="V213" s="619"/>
      <c r="W213" s="619"/>
      <c r="X213" s="619"/>
      <c r="Y213" s="619"/>
      <c r="Z213" s="619"/>
      <c r="AA213" s="619"/>
      <c r="AB213" s="311"/>
      <c r="AC213" s="313"/>
      <c r="AD213" s="313"/>
      <c r="AE213" s="313"/>
      <c r="AF213" s="313"/>
      <c r="AG213" s="313"/>
      <c r="AH213" s="313"/>
      <c r="AI213" s="313"/>
      <c r="AJ213" s="313"/>
      <c r="AK213" s="313"/>
      <c r="AL213" s="313"/>
      <c r="AM213" s="313"/>
      <c r="AN213" s="313"/>
      <c r="AO213" s="313"/>
      <c r="AP213" s="163"/>
    </row>
    <row r="214" spans="2:42" x14ac:dyDescent="0.3">
      <c r="B214" s="6"/>
      <c r="C214" s="6"/>
      <c r="D214" s="6">
        <f t="shared" si="17"/>
        <v>5</v>
      </c>
      <c r="E214" s="641" t="str">
        <f t="shared" si="16"/>
        <v>Total ESS Charge MWh</v>
      </c>
      <c r="F214" s="303"/>
      <c r="G214" s="313"/>
      <c r="H214" s="313"/>
      <c r="I214" s="308">
        <v>856.65839283986611</v>
      </c>
      <c r="J214" s="308">
        <v>856.65839283984144</v>
      </c>
      <c r="K214" s="308">
        <v>856.65839283982734</v>
      </c>
      <c r="L214" s="618">
        <v>856.65839283983109</v>
      </c>
      <c r="M214" s="618">
        <v>801.84608647191862</v>
      </c>
      <c r="N214" s="618">
        <v>801.84608647191862</v>
      </c>
      <c r="O214" s="618">
        <v>801.84608647191862</v>
      </c>
      <c r="P214" s="618">
        <v>801.84608647191862</v>
      </c>
      <c r="Q214" s="618">
        <v>801.84608647191862</v>
      </c>
      <c r="R214" s="618">
        <v>807.52051480548209</v>
      </c>
      <c r="S214" s="618">
        <v>807.52051480548209</v>
      </c>
      <c r="T214" s="618">
        <v>807.52051480548209</v>
      </c>
      <c r="U214" s="618">
        <v>807.52051480548209</v>
      </c>
      <c r="V214" s="618">
        <v>807.52051480548209</v>
      </c>
      <c r="W214" s="618">
        <v>856.65839283984326</v>
      </c>
      <c r="X214" s="618">
        <v>856.65839283984326</v>
      </c>
      <c r="Y214" s="618">
        <v>856.65839283984326</v>
      </c>
      <c r="Z214" s="618">
        <v>856.65839283984326</v>
      </c>
      <c r="AA214" s="618">
        <v>856.65839283984326</v>
      </c>
      <c r="AB214" s="308">
        <v>856.65839283983837</v>
      </c>
      <c r="AC214" s="309"/>
      <c r="AD214" s="309"/>
      <c r="AE214" s="309"/>
      <c r="AF214" s="309"/>
      <c r="AG214" s="309"/>
      <c r="AH214" s="309"/>
      <c r="AI214" s="309"/>
      <c r="AJ214" s="309"/>
      <c r="AK214" s="309"/>
      <c r="AL214" s="309"/>
      <c r="AM214" s="309"/>
      <c r="AN214" s="309"/>
      <c r="AO214" s="309"/>
      <c r="AP214" s="163"/>
    </row>
    <row r="215" spans="2:42" x14ac:dyDescent="0.3">
      <c r="B215" s="6"/>
      <c r="C215" s="6"/>
      <c r="D215" s="6">
        <f t="shared" si="17"/>
        <v>5</v>
      </c>
      <c r="E215" s="642" t="str">
        <f t="shared" si="16"/>
        <v>Avg Generation Capacity</v>
      </c>
      <c r="F215" s="303"/>
      <c r="G215" s="313"/>
      <c r="H215" s="313"/>
      <c r="I215" s="308">
        <v>0.95</v>
      </c>
      <c r="J215" s="308">
        <v>0.55000000000000004</v>
      </c>
      <c r="K215" s="308">
        <v>0.85599999999999998</v>
      </c>
      <c r="L215" s="308">
        <v>0.74823312816475174</v>
      </c>
      <c r="M215" s="308">
        <v>0.76823514034588514</v>
      </c>
      <c r="N215" s="308">
        <v>0.66776165471959181</v>
      </c>
      <c r="O215" s="308">
        <v>0.56728816909329849</v>
      </c>
      <c r="P215" s="308">
        <v>0.46681468346700516</v>
      </c>
      <c r="Q215" s="308">
        <v>0.36634119784071184</v>
      </c>
      <c r="R215" s="308">
        <v>0.26586771221441863</v>
      </c>
      <c r="S215" s="308">
        <v>0.57657861096525376</v>
      </c>
      <c r="T215" s="308">
        <v>0.88728950971608889</v>
      </c>
      <c r="U215" s="308">
        <v>1.198000408466924</v>
      </c>
      <c r="V215" s="308">
        <v>1.5087113072177591</v>
      </c>
      <c r="W215" s="308">
        <v>1.8194222059685945</v>
      </c>
      <c r="X215" s="308">
        <v>1.5328079008002322</v>
      </c>
      <c r="Y215" s="308">
        <v>1.2461935956318699</v>
      </c>
      <c r="Z215" s="308">
        <v>0.95957929046350754</v>
      </c>
      <c r="AA215" s="308">
        <v>0.67296498529514515</v>
      </c>
      <c r="AB215" s="308">
        <v>0.3863506801267827</v>
      </c>
      <c r="AC215" s="309"/>
      <c r="AD215" s="309"/>
      <c r="AE215" s="309"/>
      <c r="AF215" s="309"/>
      <c r="AG215" s="309"/>
      <c r="AH215" s="309"/>
      <c r="AI215" s="309"/>
      <c r="AJ215" s="309"/>
      <c r="AK215" s="309"/>
      <c r="AL215" s="309"/>
      <c r="AM215" s="309"/>
      <c r="AN215" s="309"/>
      <c r="AO215" s="309"/>
      <c r="AP215" s="163"/>
    </row>
    <row r="216" spans="2:42" x14ac:dyDescent="0.3">
      <c r="B216" s="6"/>
      <c r="C216" s="6"/>
      <c r="D216" s="6">
        <f t="shared" si="17"/>
        <v>5</v>
      </c>
      <c r="E216" s="642" t="str">
        <f t="shared" si="16"/>
        <v>Avg Transmission Capacity</v>
      </c>
      <c r="F216" s="303"/>
      <c r="G216" s="313"/>
      <c r="H216" s="313"/>
      <c r="I216" s="308">
        <v>0.95</v>
      </c>
      <c r="J216" s="308">
        <v>0.55000000000000004</v>
      </c>
      <c r="K216" s="308">
        <v>0.85599999999999998</v>
      </c>
      <c r="L216" s="308">
        <v>0.74823312816475174</v>
      </c>
      <c r="M216" s="308">
        <v>0.76823514034588514</v>
      </c>
      <c r="N216" s="308">
        <v>0.66776165471959181</v>
      </c>
      <c r="O216" s="308">
        <v>0.56728816909329849</v>
      </c>
      <c r="P216" s="308">
        <v>0.46681468346700516</v>
      </c>
      <c r="Q216" s="308">
        <v>0.36634119784071184</v>
      </c>
      <c r="R216" s="308">
        <v>0.26586771221441863</v>
      </c>
      <c r="S216" s="308">
        <v>0.57657861096525376</v>
      </c>
      <c r="T216" s="308">
        <v>0.88728950971608889</v>
      </c>
      <c r="U216" s="308">
        <v>1.198000408466924</v>
      </c>
      <c r="V216" s="308">
        <v>1.5087113072177591</v>
      </c>
      <c r="W216" s="308">
        <v>1.8194222059685945</v>
      </c>
      <c r="X216" s="308">
        <v>2.0078992463564438</v>
      </c>
      <c r="Y216" s="308">
        <v>2.1963762867442931</v>
      </c>
      <c r="Z216" s="308">
        <v>2.3848533271321424</v>
      </c>
      <c r="AA216" s="308">
        <v>2.5733303675199917</v>
      </c>
      <c r="AB216" s="308">
        <v>2.7618074079078401</v>
      </c>
      <c r="AC216" s="309"/>
      <c r="AD216" s="309"/>
      <c r="AE216" s="309"/>
      <c r="AF216" s="309"/>
      <c r="AG216" s="309"/>
      <c r="AH216" s="309"/>
      <c r="AI216" s="309"/>
      <c r="AJ216" s="309"/>
      <c r="AK216" s="309"/>
      <c r="AL216" s="309"/>
      <c r="AM216" s="309"/>
      <c r="AN216" s="309"/>
      <c r="AO216" s="309"/>
      <c r="AP216" s="163"/>
    </row>
    <row r="217" spans="2:42" x14ac:dyDescent="0.3">
      <c r="B217" s="6"/>
      <c r="C217" s="6"/>
      <c r="D217" s="6">
        <f t="shared" si="17"/>
        <v>5</v>
      </c>
      <c r="E217" s="642" t="str">
        <f t="shared" si="16"/>
        <v>Avg Distribution Capacity</v>
      </c>
      <c r="F217" s="303"/>
      <c r="G217" s="313"/>
      <c r="H217" s="313"/>
      <c r="I217" s="308">
        <v>2.5230000000000001</v>
      </c>
      <c r="J217" s="308">
        <v>1.44</v>
      </c>
      <c r="K217" s="308">
        <v>1.5960000000000001</v>
      </c>
      <c r="L217" s="618">
        <v>1.7060099288630828</v>
      </c>
      <c r="M217" s="618">
        <v>1.8666928265492777</v>
      </c>
      <c r="N217" s="618">
        <v>1.5914248008989651</v>
      </c>
      <c r="O217" s="618">
        <v>1.3161567752486525</v>
      </c>
      <c r="P217" s="618">
        <v>1.0408887495983399</v>
      </c>
      <c r="Q217" s="618">
        <v>0.76562072394802727</v>
      </c>
      <c r="R217" s="618">
        <v>0.49035269829771455</v>
      </c>
      <c r="S217" s="618">
        <v>0.93419568408790532</v>
      </c>
      <c r="T217" s="618">
        <v>1.3780386698780962</v>
      </c>
      <c r="U217" s="618">
        <v>1.8218816556682871</v>
      </c>
      <c r="V217" s="618">
        <v>2.265724641458478</v>
      </c>
      <c r="W217" s="618">
        <v>2.7095676272486684</v>
      </c>
      <c r="X217" s="618">
        <v>2.7200155833805026</v>
      </c>
      <c r="Y217" s="618">
        <v>2.7304635395123369</v>
      </c>
      <c r="Z217" s="618">
        <v>2.7409114956441711</v>
      </c>
      <c r="AA217" s="618">
        <v>2.7513594517760054</v>
      </c>
      <c r="AB217" s="308">
        <v>2.7618074079078401</v>
      </c>
      <c r="AC217" s="309"/>
      <c r="AD217" s="309"/>
      <c r="AE217" s="309"/>
      <c r="AF217" s="309"/>
      <c r="AG217" s="309"/>
      <c r="AH217" s="309"/>
      <c r="AI217" s="309"/>
      <c r="AJ217" s="309"/>
      <c r="AK217" s="309"/>
      <c r="AL217" s="309"/>
      <c r="AM217" s="309"/>
      <c r="AN217" s="309"/>
      <c r="AO217" s="309"/>
      <c r="AP217" s="163"/>
    </row>
    <row r="218" spans="2:42" x14ac:dyDescent="0.3">
      <c r="B218" s="6"/>
      <c r="C218" s="6"/>
      <c r="D218" s="6">
        <f t="shared" si="17"/>
        <v>5</v>
      </c>
      <c r="E218" s="642" t="str">
        <f t="shared" si="16"/>
        <v>GHG Impacts</v>
      </c>
      <c r="F218" s="303"/>
      <c r="G218" s="313"/>
      <c r="H218" s="313"/>
      <c r="I218" s="308">
        <v>856.53</v>
      </c>
      <c r="J218" s="308">
        <v>855.58</v>
      </c>
      <c r="K218" s="308">
        <v>850.85</v>
      </c>
      <c r="L218" s="618">
        <v>842.72984425546929</v>
      </c>
      <c r="M218" s="618">
        <v>764.58655060781791</v>
      </c>
      <c r="N218" s="618">
        <v>713.2897257240985</v>
      </c>
      <c r="O218" s="618">
        <v>661.99290084037909</v>
      </c>
      <c r="P218" s="618">
        <v>610.69607595665968</v>
      </c>
      <c r="Q218" s="618">
        <v>559.39925107294027</v>
      </c>
      <c r="R218" s="618">
        <v>508.10242618922103</v>
      </c>
      <c r="S218" s="618">
        <v>473.86790367926045</v>
      </c>
      <c r="T218" s="618">
        <v>439.63338116929987</v>
      </c>
      <c r="U218" s="618">
        <v>405.39885865933928</v>
      </c>
      <c r="V218" s="618">
        <v>371.1643361493787</v>
      </c>
      <c r="W218" s="618">
        <v>336.92981363941806</v>
      </c>
      <c r="X218" s="618">
        <v>308.73472295560714</v>
      </c>
      <c r="Y218" s="618">
        <v>280.53963227179622</v>
      </c>
      <c r="Z218" s="618">
        <v>252.3445415879853</v>
      </c>
      <c r="AA218" s="618">
        <v>224.14945090417439</v>
      </c>
      <c r="AB218" s="308">
        <v>195.95436022036341</v>
      </c>
      <c r="AC218" s="309"/>
      <c r="AD218" s="309"/>
      <c r="AE218" s="309"/>
      <c r="AF218" s="309"/>
      <c r="AG218" s="309"/>
      <c r="AH218" s="309"/>
      <c r="AI218" s="309"/>
      <c r="AJ218" s="309"/>
      <c r="AK218" s="309"/>
      <c r="AL218" s="309"/>
      <c r="AM218" s="309"/>
      <c r="AN218" s="309"/>
      <c r="AO218" s="309"/>
      <c r="AP218" s="163"/>
    </row>
    <row r="219" spans="2:42" x14ac:dyDescent="0.3">
      <c r="B219" s="6"/>
      <c r="C219" s="6"/>
      <c r="D219" s="6">
        <f t="shared" si="17"/>
        <v>5</v>
      </c>
      <c r="E219" s="642" t="str">
        <f t="shared" si="16"/>
        <v>Market Price Effects - Wholesale Energy</v>
      </c>
      <c r="F219" s="303"/>
      <c r="G219" s="313"/>
      <c r="H219" s="313"/>
      <c r="I219" s="308">
        <v>856.66</v>
      </c>
      <c r="J219" s="308">
        <v>856.66</v>
      </c>
      <c r="K219" s="308">
        <v>856.65800000000002</v>
      </c>
      <c r="L219" s="618">
        <v>856.6583928398278</v>
      </c>
      <c r="M219" s="618">
        <v>801.84608647191476</v>
      </c>
      <c r="N219" s="618">
        <v>802.98097213862832</v>
      </c>
      <c r="O219" s="618">
        <v>804.11585780534188</v>
      </c>
      <c r="P219" s="618">
        <v>805.25074347205543</v>
      </c>
      <c r="Q219" s="618">
        <v>806.38562913876899</v>
      </c>
      <c r="R219" s="618">
        <v>807.52051480548266</v>
      </c>
      <c r="S219" s="618">
        <v>817.34809041235496</v>
      </c>
      <c r="T219" s="618">
        <v>827.17566601922726</v>
      </c>
      <c r="U219" s="618">
        <v>837.00324162609957</v>
      </c>
      <c r="V219" s="618">
        <v>846.83081723297187</v>
      </c>
      <c r="W219" s="618">
        <v>856.65839283984394</v>
      </c>
      <c r="X219" s="618">
        <v>856.65839283984292</v>
      </c>
      <c r="Y219" s="618">
        <v>856.65839283984189</v>
      </c>
      <c r="Z219" s="618">
        <v>856.65839283984087</v>
      </c>
      <c r="AA219" s="618">
        <v>856.65839283983985</v>
      </c>
      <c r="AB219" s="308">
        <v>856.65839283983871</v>
      </c>
      <c r="AC219" s="309"/>
      <c r="AD219" s="309"/>
      <c r="AE219" s="309"/>
      <c r="AF219" s="309"/>
      <c r="AG219" s="309"/>
      <c r="AH219" s="309"/>
      <c r="AI219" s="309"/>
      <c r="AJ219" s="309"/>
      <c r="AK219" s="309"/>
      <c r="AL219" s="309"/>
      <c r="AM219" s="309"/>
      <c r="AN219" s="309"/>
      <c r="AO219" s="309"/>
      <c r="AP219" s="163"/>
    </row>
    <row r="220" spans="2:42" x14ac:dyDescent="0.3">
      <c r="B220" s="6"/>
      <c r="C220" s="6"/>
      <c r="D220" s="6">
        <f t="shared" si="17"/>
        <v>5</v>
      </c>
      <c r="E220" s="643" t="str">
        <f t="shared" si="16"/>
        <v>Market Price Effects - Wholesale Capacity</v>
      </c>
      <c r="F220" s="303"/>
      <c r="G220" s="15"/>
      <c r="H220" s="15"/>
      <c r="I220" s="308">
        <v>0</v>
      </c>
      <c r="J220" s="308">
        <v>0</v>
      </c>
      <c r="K220" s="308">
        <v>0</v>
      </c>
      <c r="L220" s="618">
        <v>0</v>
      </c>
      <c r="M220" s="618">
        <v>0</v>
      </c>
      <c r="N220" s="618">
        <v>0</v>
      </c>
      <c r="O220" s="618">
        <v>0</v>
      </c>
      <c r="P220" s="618">
        <v>0</v>
      </c>
      <c r="Q220" s="618">
        <v>0</v>
      </c>
      <c r="R220" s="618">
        <v>0</v>
      </c>
      <c r="S220" s="618">
        <v>0</v>
      </c>
      <c r="T220" s="618">
        <v>0</v>
      </c>
      <c r="U220" s="618">
        <v>0</v>
      </c>
      <c r="V220" s="618">
        <v>0</v>
      </c>
      <c r="W220" s="618">
        <v>0</v>
      </c>
      <c r="X220" s="618">
        <v>0</v>
      </c>
      <c r="Y220" s="618">
        <v>0</v>
      </c>
      <c r="Z220" s="618">
        <v>0</v>
      </c>
      <c r="AA220" s="618">
        <v>0</v>
      </c>
      <c r="AB220" s="308">
        <v>0</v>
      </c>
      <c r="AC220" s="309"/>
      <c r="AD220" s="309"/>
      <c r="AE220" s="309"/>
      <c r="AF220" s="309"/>
      <c r="AG220" s="309"/>
      <c r="AH220" s="309"/>
      <c r="AI220" s="309"/>
      <c r="AJ220" s="309"/>
      <c r="AK220" s="309"/>
      <c r="AL220" s="309"/>
      <c r="AM220" s="309"/>
      <c r="AN220" s="309"/>
      <c r="AO220" s="309"/>
      <c r="AP220" s="163"/>
    </row>
    <row r="221" spans="2:42" x14ac:dyDescent="0.3">
      <c r="B221" s="6"/>
      <c r="C221" s="6"/>
      <c r="D221" s="6">
        <f t="shared" si="17"/>
        <v>5</v>
      </c>
      <c r="E221" s="640" t="str">
        <f t="shared" si="16"/>
        <v>Disharge MWh</v>
      </c>
      <c r="G221" s="15"/>
      <c r="H221" s="15"/>
      <c r="I221" s="505"/>
      <c r="J221" s="505"/>
      <c r="K221" s="505"/>
      <c r="L221" s="505"/>
      <c r="M221" s="505"/>
      <c r="N221" s="505"/>
      <c r="O221" s="505"/>
      <c r="P221" s="505"/>
      <c r="Q221" s="505"/>
      <c r="R221" s="505"/>
      <c r="S221" s="505"/>
      <c r="T221" s="505"/>
      <c r="U221" s="505"/>
      <c r="V221" s="505"/>
      <c r="W221" s="505"/>
      <c r="X221" s="505"/>
      <c r="Y221" s="505"/>
      <c r="Z221" s="505"/>
      <c r="AA221" s="505"/>
      <c r="AB221" s="505"/>
      <c r="AC221" s="15"/>
      <c r="AD221" s="15"/>
      <c r="AE221" s="15"/>
      <c r="AF221" s="15"/>
      <c r="AG221" s="15"/>
      <c r="AH221" s="15"/>
      <c r="AI221" s="15"/>
      <c r="AJ221" s="15"/>
      <c r="AK221" s="15"/>
      <c r="AL221" s="15"/>
      <c r="AM221" s="15"/>
      <c r="AN221" s="15"/>
      <c r="AO221" s="15"/>
      <c r="AP221" s="163"/>
    </row>
    <row r="222" spans="2:42" x14ac:dyDescent="0.3">
      <c r="B222" s="6"/>
      <c r="C222" s="6"/>
      <c r="D222" s="6">
        <f t="shared" si="17"/>
        <v>5</v>
      </c>
      <c r="E222" s="641" t="str">
        <f t="shared" si="16"/>
        <v>Total ESS DCharge MWh</v>
      </c>
      <c r="G222" s="15"/>
      <c r="H222" s="217"/>
      <c r="I222" s="308">
        <v>730.00000000002001</v>
      </c>
      <c r="J222" s="308">
        <v>729.99999999999932</v>
      </c>
      <c r="K222" s="308">
        <v>729.99999999998715</v>
      </c>
      <c r="L222" s="618">
        <v>729.99999999999034</v>
      </c>
      <c r="M222" s="618">
        <v>683.40695680946362</v>
      </c>
      <c r="N222" s="618">
        <v>683.40695680946362</v>
      </c>
      <c r="O222" s="618">
        <v>683.40695680946362</v>
      </c>
      <c r="P222" s="618">
        <v>683.40695680946362</v>
      </c>
      <c r="Q222" s="618">
        <v>683.40695680946362</v>
      </c>
      <c r="R222" s="618">
        <v>688.23048827432547</v>
      </c>
      <c r="S222" s="618">
        <v>688.23048827432547</v>
      </c>
      <c r="T222" s="618">
        <v>688.23048827432547</v>
      </c>
      <c r="U222" s="618">
        <v>688.23048827432547</v>
      </c>
      <c r="V222" s="618">
        <v>688.23048827432547</v>
      </c>
      <c r="W222" s="618">
        <v>730.00000000000068</v>
      </c>
      <c r="X222" s="618">
        <v>730.00000000000068</v>
      </c>
      <c r="Y222" s="618">
        <v>730.00000000000068</v>
      </c>
      <c r="Z222" s="618">
        <v>730.00000000000068</v>
      </c>
      <c r="AA222" s="618">
        <v>730.00000000000068</v>
      </c>
      <c r="AB222" s="308">
        <v>729.99999999999659</v>
      </c>
      <c r="AC222" s="309"/>
      <c r="AD222" s="309"/>
      <c r="AE222" s="309"/>
      <c r="AF222" s="309"/>
      <c r="AG222" s="309"/>
      <c r="AH222" s="309"/>
      <c r="AI222" s="309"/>
      <c r="AJ222" s="309"/>
      <c r="AK222" s="309"/>
      <c r="AL222" s="309"/>
      <c r="AM222" s="309"/>
      <c r="AN222" s="309"/>
      <c r="AO222" s="309"/>
      <c r="AP222" s="163"/>
    </row>
    <row r="223" spans="2:42" x14ac:dyDescent="0.3">
      <c r="B223" s="6"/>
      <c r="C223" s="6"/>
      <c r="D223" s="6">
        <f t="shared" si="17"/>
        <v>5</v>
      </c>
      <c r="E223" s="642" t="str">
        <f t="shared" si="16"/>
        <v>Avg Generation Capacity</v>
      </c>
      <c r="F223" s="303"/>
      <c r="G223" s="15"/>
      <c r="H223" s="217"/>
      <c r="I223" s="308">
        <v>12.8578135846879</v>
      </c>
      <c r="J223" s="308">
        <v>13.234688135885524</v>
      </c>
      <c r="K223" s="308">
        <v>3.8935412317069251</v>
      </c>
      <c r="L223" s="618">
        <v>5.3462887251119602</v>
      </c>
      <c r="M223" s="618">
        <v>10.0865737407604</v>
      </c>
      <c r="N223" s="618">
        <v>10.522279875619157</v>
      </c>
      <c r="O223" s="618">
        <v>10.957986010477914</v>
      </c>
      <c r="P223" s="618">
        <v>11.39369214533667</v>
      </c>
      <c r="Q223" s="618">
        <v>11.829398280195427</v>
      </c>
      <c r="R223" s="618">
        <v>12.26510441505418</v>
      </c>
      <c r="S223" s="618">
        <v>13.162283738079083</v>
      </c>
      <c r="T223" s="618">
        <v>14.059463061103985</v>
      </c>
      <c r="U223" s="618">
        <v>14.956642384128887</v>
      </c>
      <c r="V223" s="618">
        <v>15.85382170715379</v>
      </c>
      <c r="W223" s="618">
        <v>16.751001030178696</v>
      </c>
      <c r="X223" s="618">
        <v>18.076364692703258</v>
      </c>
      <c r="Y223" s="618">
        <v>19.401728355227821</v>
      </c>
      <c r="Z223" s="618">
        <v>20.727092017752383</v>
      </c>
      <c r="AA223" s="618">
        <v>22.052455680276946</v>
      </c>
      <c r="AB223" s="308">
        <v>23.377819342801505</v>
      </c>
      <c r="AC223" s="309"/>
      <c r="AD223" s="309"/>
      <c r="AE223" s="309"/>
      <c r="AF223" s="309"/>
      <c r="AG223" s="309"/>
      <c r="AH223" s="309"/>
      <c r="AI223" s="309"/>
      <c r="AJ223" s="309"/>
      <c r="AK223" s="309"/>
      <c r="AL223" s="309"/>
      <c r="AM223" s="309"/>
      <c r="AN223" s="309"/>
      <c r="AO223" s="309"/>
      <c r="AP223" s="163"/>
    </row>
    <row r="224" spans="2:42" x14ac:dyDescent="0.3">
      <c r="B224" s="6"/>
      <c r="C224" s="6"/>
      <c r="D224" s="6">
        <f t="shared" si="17"/>
        <v>5</v>
      </c>
      <c r="E224" s="642" t="str">
        <f t="shared" si="16"/>
        <v>Avg Transmission Capacity</v>
      </c>
      <c r="F224" s="303"/>
      <c r="G224" s="15"/>
      <c r="H224" s="217"/>
      <c r="I224" s="308">
        <v>12.8578135846879</v>
      </c>
      <c r="J224" s="308">
        <v>13.234688135885524</v>
      </c>
      <c r="K224" s="308">
        <v>3.8935412317069251</v>
      </c>
      <c r="L224" s="618">
        <v>5.3462887251119602</v>
      </c>
      <c r="M224" s="618">
        <v>10.0865737407604</v>
      </c>
      <c r="N224" s="618">
        <v>10.522279875619157</v>
      </c>
      <c r="O224" s="618">
        <v>10.957986010477914</v>
      </c>
      <c r="P224" s="618">
        <v>11.39369214533667</v>
      </c>
      <c r="Q224" s="618">
        <v>11.829398280195427</v>
      </c>
      <c r="R224" s="618">
        <v>12.26510441505418</v>
      </c>
      <c r="S224" s="618">
        <v>13.162283738079083</v>
      </c>
      <c r="T224" s="618">
        <v>14.059463061103985</v>
      </c>
      <c r="U224" s="618">
        <v>14.956642384128887</v>
      </c>
      <c r="V224" s="618">
        <v>15.85382170715379</v>
      </c>
      <c r="W224" s="618">
        <v>16.751001030178696</v>
      </c>
      <c r="X224" s="618">
        <v>18.076364692703258</v>
      </c>
      <c r="Y224" s="618">
        <v>19.401728355227821</v>
      </c>
      <c r="Z224" s="618">
        <v>20.727092017752383</v>
      </c>
      <c r="AA224" s="618">
        <v>22.052455680276946</v>
      </c>
      <c r="AB224" s="308">
        <v>23.377819342801505</v>
      </c>
      <c r="AC224" s="309"/>
      <c r="AD224" s="309"/>
      <c r="AE224" s="309"/>
      <c r="AF224" s="309"/>
      <c r="AG224" s="309"/>
      <c r="AH224" s="309"/>
      <c r="AI224" s="309"/>
      <c r="AJ224" s="309"/>
      <c r="AK224" s="309"/>
      <c r="AL224" s="309"/>
      <c r="AM224" s="309"/>
      <c r="AN224" s="309"/>
      <c r="AO224" s="309"/>
      <c r="AP224" s="163"/>
    </row>
    <row r="225" spans="2:42" x14ac:dyDescent="0.3">
      <c r="B225" s="6"/>
      <c r="C225" s="6"/>
      <c r="D225" s="6">
        <f t="shared" si="17"/>
        <v>5</v>
      </c>
      <c r="E225" s="642" t="str">
        <f t="shared" si="16"/>
        <v>Avg Distribution Capacity</v>
      </c>
      <c r="F225" s="303"/>
      <c r="G225" s="15"/>
      <c r="H225" s="217"/>
      <c r="I225" s="308">
        <v>5.9575919466748015</v>
      </c>
      <c r="J225" s="308">
        <v>9.9929263162117508</v>
      </c>
      <c r="K225" s="308">
        <v>2.9455085787324209</v>
      </c>
      <c r="L225" s="618">
        <v>4.2502340414313071</v>
      </c>
      <c r="M225" s="618">
        <v>9.4588986681939335</v>
      </c>
      <c r="N225" s="618">
        <v>9.7431827389117363</v>
      </c>
      <c r="O225" s="618">
        <v>10.027466809629539</v>
      </c>
      <c r="P225" s="618">
        <v>10.311750880347342</v>
      </c>
      <c r="Q225" s="618">
        <v>10.596034951065144</v>
      </c>
      <c r="R225" s="618">
        <v>10.880319021782945</v>
      </c>
      <c r="S225" s="618">
        <v>11.695200420061084</v>
      </c>
      <c r="T225" s="618">
        <v>12.510081818339224</v>
      </c>
      <c r="U225" s="618">
        <v>13.324963216617363</v>
      </c>
      <c r="V225" s="618">
        <v>14.139844614895502</v>
      </c>
      <c r="W225" s="618">
        <v>14.954726013173639</v>
      </c>
      <c r="X225" s="618">
        <v>16.020151994243435</v>
      </c>
      <c r="Y225" s="618">
        <v>17.085577975313232</v>
      </c>
      <c r="Z225" s="618">
        <v>18.151003956383029</v>
      </c>
      <c r="AA225" s="618">
        <v>19.216429937452826</v>
      </c>
      <c r="AB225" s="308">
        <v>20.281855918522623</v>
      </c>
      <c r="AC225" s="309"/>
      <c r="AD225" s="309"/>
      <c r="AE225" s="309"/>
      <c r="AF225" s="309"/>
      <c r="AG225" s="309"/>
      <c r="AH225" s="309"/>
      <c r="AI225" s="309"/>
      <c r="AJ225" s="309"/>
      <c r="AK225" s="309"/>
      <c r="AL225" s="309"/>
      <c r="AM225" s="309"/>
      <c r="AN225" s="309"/>
      <c r="AO225" s="309"/>
      <c r="AP225" s="163"/>
    </row>
    <row r="226" spans="2:42" x14ac:dyDescent="0.3">
      <c r="B226" s="6"/>
      <c r="C226" s="6"/>
      <c r="D226" s="6">
        <f t="shared" si="17"/>
        <v>5</v>
      </c>
      <c r="E226" s="642" t="str">
        <f t="shared" si="16"/>
        <v>GHG Impacts</v>
      </c>
      <c r="F226" s="303"/>
      <c r="G226" s="15"/>
      <c r="H226" s="217"/>
      <c r="I226" s="308">
        <v>729.93</v>
      </c>
      <c r="J226" s="308">
        <v>729.85</v>
      </c>
      <c r="K226" s="308">
        <v>727.95</v>
      </c>
      <c r="L226" s="618">
        <v>726.12175578502229</v>
      </c>
      <c r="M226" s="618">
        <v>677.37078488868633</v>
      </c>
      <c r="N226" s="618">
        <v>676.26609234460216</v>
      </c>
      <c r="O226" s="618">
        <v>675.16139980051798</v>
      </c>
      <c r="P226" s="618">
        <v>674.05670725643381</v>
      </c>
      <c r="Q226" s="618">
        <v>672.95201471234964</v>
      </c>
      <c r="R226" s="618">
        <v>671.84732216826558</v>
      </c>
      <c r="S226" s="618">
        <v>679.72519324582015</v>
      </c>
      <c r="T226" s="618">
        <v>687.60306432337472</v>
      </c>
      <c r="U226" s="618">
        <v>695.4809354009293</v>
      </c>
      <c r="V226" s="618">
        <v>703.35880647848387</v>
      </c>
      <c r="W226" s="618">
        <v>711.23667755603867</v>
      </c>
      <c r="X226" s="618">
        <v>711.27042047361556</v>
      </c>
      <c r="Y226" s="618">
        <v>711.30416339119245</v>
      </c>
      <c r="Z226" s="618">
        <v>711.33790630876933</v>
      </c>
      <c r="AA226" s="618">
        <v>711.37164922634622</v>
      </c>
      <c r="AB226" s="308">
        <v>711.40539214392334</v>
      </c>
      <c r="AC226" s="309"/>
      <c r="AD226" s="309"/>
      <c r="AE226" s="309"/>
      <c r="AF226" s="309"/>
      <c r="AG226" s="309"/>
      <c r="AH226" s="309"/>
      <c r="AI226" s="309"/>
      <c r="AJ226" s="309"/>
      <c r="AK226" s="309"/>
      <c r="AL226" s="309"/>
      <c r="AM226" s="309"/>
      <c r="AN226" s="309"/>
      <c r="AO226" s="309"/>
      <c r="AP226" s="163"/>
    </row>
    <row r="227" spans="2:42" x14ac:dyDescent="0.3">
      <c r="B227" s="6"/>
      <c r="C227" s="6"/>
      <c r="D227" s="6">
        <f t="shared" si="17"/>
        <v>5</v>
      </c>
      <c r="E227" s="642" t="str">
        <f t="shared" si="16"/>
        <v>Market Price Effects - Wholesale Energy</v>
      </c>
      <c r="F227" s="303"/>
      <c r="G227" s="15"/>
      <c r="H227" s="217"/>
      <c r="I227" s="308">
        <v>730</v>
      </c>
      <c r="J227" s="308">
        <v>730</v>
      </c>
      <c r="K227" s="308">
        <v>730</v>
      </c>
      <c r="L227" s="618">
        <v>729.99999999999466</v>
      </c>
      <c r="M227" s="618">
        <v>683.40695680945919</v>
      </c>
      <c r="N227" s="618">
        <v>684.37166310243344</v>
      </c>
      <c r="O227" s="618">
        <v>685.3363693954077</v>
      </c>
      <c r="P227" s="618">
        <v>686.30107568838196</v>
      </c>
      <c r="Q227" s="618">
        <v>687.26578198135621</v>
      </c>
      <c r="R227" s="618">
        <v>688.23048827433047</v>
      </c>
      <c r="S227" s="618">
        <v>696.58439061946513</v>
      </c>
      <c r="T227" s="618">
        <v>704.93829296459978</v>
      </c>
      <c r="U227" s="618">
        <v>713.29219530973444</v>
      </c>
      <c r="V227" s="618">
        <v>721.6460976548691</v>
      </c>
      <c r="W227" s="618">
        <v>730.00000000000364</v>
      </c>
      <c r="X227" s="618">
        <v>730.00000000000273</v>
      </c>
      <c r="Y227" s="618">
        <v>730.00000000000182</v>
      </c>
      <c r="Z227" s="618">
        <v>730.00000000000091</v>
      </c>
      <c r="AA227" s="618">
        <v>730</v>
      </c>
      <c r="AB227" s="308">
        <v>729.99999999999909</v>
      </c>
      <c r="AC227" s="309"/>
      <c r="AD227" s="309"/>
      <c r="AE227" s="309"/>
      <c r="AF227" s="309"/>
      <c r="AG227" s="309"/>
      <c r="AH227" s="309"/>
      <c r="AI227" s="309"/>
      <c r="AJ227" s="309"/>
      <c r="AK227" s="309"/>
      <c r="AL227" s="309"/>
      <c r="AM227" s="309"/>
      <c r="AN227" s="309"/>
      <c r="AO227" s="309"/>
      <c r="AP227" s="163"/>
    </row>
    <row r="228" spans="2:42" x14ac:dyDescent="0.3">
      <c r="B228" s="6"/>
      <c r="C228" s="6"/>
      <c r="D228" s="6">
        <f t="shared" si="17"/>
        <v>5</v>
      </c>
      <c r="E228" s="642" t="str">
        <f t="shared" si="16"/>
        <v>Market Price Effects - Wholesale Capacity</v>
      </c>
      <c r="F228" s="303"/>
      <c r="G228" s="15"/>
      <c r="H228" s="217"/>
      <c r="I228" s="308">
        <v>0</v>
      </c>
      <c r="J228" s="308">
        <v>0</v>
      </c>
      <c r="K228" s="308">
        <v>0</v>
      </c>
      <c r="L228" s="618">
        <v>0</v>
      </c>
      <c r="M228" s="618">
        <v>0</v>
      </c>
      <c r="N228" s="618">
        <v>0</v>
      </c>
      <c r="O228" s="618">
        <v>0</v>
      </c>
      <c r="P228" s="618">
        <v>0</v>
      </c>
      <c r="Q228" s="618">
        <v>0</v>
      </c>
      <c r="R228" s="618">
        <v>0</v>
      </c>
      <c r="S228" s="618">
        <v>0</v>
      </c>
      <c r="T228" s="618">
        <v>0</v>
      </c>
      <c r="U228" s="618">
        <v>0</v>
      </c>
      <c r="V228" s="618">
        <v>0</v>
      </c>
      <c r="W228" s="618">
        <v>0</v>
      </c>
      <c r="X228" s="618">
        <v>0</v>
      </c>
      <c r="Y228" s="618">
        <v>0</v>
      </c>
      <c r="Z228" s="618">
        <v>0</v>
      </c>
      <c r="AA228" s="618">
        <v>0</v>
      </c>
      <c r="AB228" s="308">
        <v>0</v>
      </c>
      <c r="AC228" s="309"/>
      <c r="AD228" s="309"/>
      <c r="AE228" s="309"/>
      <c r="AF228" s="309"/>
      <c r="AG228" s="309"/>
      <c r="AH228" s="309"/>
      <c r="AI228" s="309"/>
      <c r="AJ228" s="309"/>
      <c r="AK228" s="309"/>
      <c r="AL228" s="309"/>
      <c r="AM228" s="309"/>
      <c r="AN228" s="309"/>
      <c r="AO228" s="309"/>
      <c r="AP228" s="163"/>
    </row>
    <row r="229" spans="2:42" x14ac:dyDescent="0.3">
      <c r="B229" s="6"/>
      <c r="C229" s="6"/>
      <c r="D229" s="6">
        <f t="shared" si="17"/>
        <v>5</v>
      </c>
      <c r="E229" s="544"/>
      <c r="F229" s="545"/>
      <c r="G229" s="545"/>
      <c r="H229" s="545"/>
      <c r="I229" s="545"/>
      <c r="J229" s="545"/>
      <c r="K229" s="545"/>
      <c r="L229" s="545"/>
      <c r="M229" s="545"/>
      <c r="N229" s="545"/>
      <c r="O229" s="545"/>
      <c r="P229" s="545"/>
      <c r="Q229" s="545"/>
      <c r="R229" s="545"/>
      <c r="S229" s="545"/>
      <c r="T229" s="545"/>
      <c r="U229" s="545"/>
      <c r="V229" s="545"/>
      <c r="W229" s="545"/>
      <c r="X229" s="545"/>
      <c r="Y229" s="545"/>
      <c r="Z229" s="545"/>
      <c r="AA229" s="545"/>
      <c r="AB229" s="545"/>
      <c r="AC229" s="545"/>
      <c r="AD229" s="545"/>
      <c r="AE229" s="545"/>
      <c r="AF229" s="545"/>
      <c r="AG229" s="545"/>
      <c r="AH229" s="545"/>
      <c r="AI229" s="545"/>
      <c r="AJ229" s="545"/>
      <c r="AK229" s="545"/>
      <c r="AL229" s="545"/>
      <c r="AM229" s="545"/>
      <c r="AN229" s="545"/>
      <c r="AO229" s="545"/>
      <c r="AP229" s="543"/>
    </row>
    <row r="230" spans="2:42" ht="21" x14ac:dyDescent="0.4">
      <c r="B230" s="6"/>
      <c r="C230" s="6"/>
      <c r="D230" s="6">
        <f t="shared" si="17"/>
        <v>6</v>
      </c>
      <c r="E230" s="632" t="str">
        <f>_xlfn.CONCAT(revenueSimulationID," ",$D230,"|",INDEX(StdConfigDesc,$D230,$E$29))</f>
        <v>Case 6|C&amp;I - Medium (1 MW / 4 MWh)</v>
      </c>
      <c r="F230" s="633"/>
      <c r="G230" s="633"/>
      <c r="H230" s="633"/>
      <c r="I230" s="633"/>
      <c r="J230" s="633"/>
      <c r="K230" s="633"/>
      <c r="L230" s="633"/>
      <c r="M230" s="633"/>
      <c r="N230" s="633"/>
      <c r="O230" s="633"/>
      <c r="P230" s="633"/>
      <c r="Q230" s="633"/>
      <c r="R230" s="633"/>
      <c r="S230" s="633"/>
      <c r="T230" s="633"/>
      <c r="U230" s="633"/>
      <c r="V230" s="633"/>
      <c r="W230" s="633"/>
      <c r="X230" s="633"/>
      <c r="Y230" s="633"/>
      <c r="Z230" s="633"/>
      <c r="AA230" s="633"/>
      <c r="AB230" s="633"/>
      <c r="AC230" s="633"/>
      <c r="AD230" s="633"/>
      <c r="AE230" s="633"/>
      <c r="AF230" s="633"/>
      <c r="AG230" s="633"/>
      <c r="AH230" s="633"/>
      <c r="AI230" s="633"/>
      <c r="AJ230" s="633"/>
      <c r="AK230" s="633"/>
      <c r="AL230" s="633"/>
      <c r="AM230" s="633"/>
      <c r="AN230" s="633"/>
      <c r="AO230" s="633"/>
      <c r="AP230" s="634"/>
    </row>
    <row r="231" spans="2:42" ht="25.8" x14ac:dyDescent="0.5">
      <c r="B231" s="6"/>
      <c r="C231" s="6"/>
      <c r="D231" s="6">
        <f t="shared" si="17"/>
        <v>6</v>
      </c>
      <c r="E231" s="635"/>
      <c r="F231" s="2">
        <v>2025</v>
      </c>
      <c r="G231" s="2">
        <f>F231+1</f>
        <v>2026</v>
      </c>
      <c r="H231" s="2">
        <f t="shared" ref="H231:AO231" si="18">G231+1</f>
        <v>2027</v>
      </c>
      <c r="I231" s="2">
        <f t="shared" si="18"/>
        <v>2028</v>
      </c>
      <c r="J231" s="2">
        <f t="shared" si="18"/>
        <v>2029</v>
      </c>
      <c r="K231" s="2">
        <f t="shared" si="18"/>
        <v>2030</v>
      </c>
      <c r="L231" s="2">
        <f t="shared" si="18"/>
        <v>2031</v>
      </c>
      <c r="M231" s="2">
        <f t="shared" si="18"/>
        <v>2032</v>
      </c>
      <c r="N231" s="2">
        <f t="shared" si="18"/>
        <v>2033</v>
      </c>
      <c r="O231" s="2">
        <f t="shared" si="18"/>
        <v>2034</v>
      </c>
      <c r="P231" s="2">
        <f t="shared" si="18"/>
        <v>2035</v>
      </c>
      <c r="Q231" s="2">
        <f t="shared" si="18"/>
        <v>2036</v>
      </c>
      <c r="R231" s="2">
        <f t="shared" si="18"/>
        <v>2037</v>
      </c>
      <c r="S231" s="2">
        <f t="shared" si="18"/>
        <v>2038</v>
      </c>
      <c r="T231" s="2">
        <f t="shared" si="18"/>
        <v>2039</v>
      </c>
      <c r="U231" s="2">
        <f t="shared" si="18"/>
        <v>2040</v>
      </c>
      <c r="V231" s="2">
        <f t="shared" si="18"/>
        <v>2041</v>
      </c>
      <c r="W231" s="2">
        <f t="shared" si="18"/>
        <v>2042</v>
      </c>
      <c r="X231" s="2">
        <f t="shared" si="18"/>
        <v>2043</v>
      </c>
      <c r="Y231" s="2">
        <f t="shared" si="18"/>
        <v>2044</v>
      </c>
      <c r="Z231" s="2">
        <f t="shared" si="18"/>
        <v>2045</v>
      </c>
      <c r="AA231" s="2">
        <f t="shared" si="18"/>
        <v>2046</v>
      </c>
      <c r="AB231" s="2">
        <f t="shared" si="18"/>
        <v>2047</v>
      </c>
      <c r="AC231" s="2">
        <f t="shared" si="18"/>
        <v>2048</v>
      </c>
      <c r="AD231" s="2">
        <f t="shared" si="18"/>
        <v>2049</v>
      </c>
      <c r="AE231" s="2">
        <f t="shared" si="18"/>
        <v>2050</v>
      </c>
      <c r="AF231" s="2">
        <f t="shared" si="18"/>
        <v>2051</v>
      </c>
      <c r="AG231" s="2">
        <f t="shared" si="18"/>
        <v>2052</v>
      </c>
      <c r="AH231" s="2">
        <f t="shared" si="18"/>
        <v>2053</v>
      </c>
      <c r="AI231" s="2">
        <f t="shared" si="18"/>
        <v>2054</v>
      </c>
      <c r="AJ231" s="2">
        <f t="shared" si="18"/>
        <v>2055</v>
      </c>
      <c r="AK231" s="2">
        <f t="shared" si="18"/>
        <v>2056</v>
      </c>
      <c r="AL231" s="2">
        <f t="shared" si="18"/>
        <v>2057</v>
      </c>
      <c r="AM231" s="2">
        <f t="shared" si="18"/>
        <v>2058</v>
      </c>
      <c r="AN231" s="2">
        <f t="shared" si="18"/>
        <v>2059</v>
      </c>
      <c r="AO231" s="2">
        <f t="shared" si="18"/>
        <v>2060</v>
      </c>
      <c r="AP231" s="163"/>
    </row>
    <row r="232" spans="2:42" x14ac:dyDescent="0.3">
      <c r="B232" s="6"/>
      <c r="C232" s="6"/>
      <c r="D232" s="6">
        <f t="shared" si="17"/>
        <v>6</v>
      </c>
      <c r="E232" s="636" t="str">
        <f>E192</f>
        <v>Capacity - PJM Market</v>
      </c>
      <c r="F232" s="302"/>
      <c r="G232" s="302"/>
      <c r="H232" s="302"/>
      <c r="I232" s="302">
        <v>0</v>
      </c>
      <c r="J232" s="302">
        <v>0</v>
      </c>
      <c r="K232" s="302">
        <v>0</v>
      </c>
      <c r="L232" s="302">
        <v>0</v>
      </c>
      <c r="M232" s="302">
        <v>0</v>
      </c>
      <c r="N232" s="302">
        <v>0</v>
      </c>
      <c r="O232" s="302">
        <v>0</v>
      </c>
      <c r="P232" s="302">
        <v>0</v>
      </c>
      <c r="Q232" s="302">
        <v>0</v>
      </c>
      <c r="R232" s="302">
        <v>0</v>
      </c>
      <c r="S232" s="302">
        <v>0</v>
      </c>
      <c r="T232" s="302">
        <v>0</v>
      </c>
      <c r="U232" s="302">
        <v>0</v>
      </c>
      <c r="V232" s="302">
        <v>0</v>
      </c>
      <c r="W232" s="302">
        <v>0</v>
      </c>
      <c r="X232" s="302">
        <v>0</v>
      </c>
      <c r="Y232" s="302">
        <v>0</v>
      </c>
      <c r="Z232" s="302">
        <v>0</v>
      </c>
      <c r="AA232" s="302">
        <v>0</v>
      </c>
      <c r="AB232" s="302">
        <v>0</v>
      </c>
      <c r="AC232" s="302">
        <v>0</v>
      </c>
      <c r="AD232" s="302">
        <v>0</v>
      </c>
      <c r="AE232" s="302">
        <v>0</v>
      </c>
      <c r="AF232" s="302">
        <v>0</v>
      </c>
      <c r="AG232" s="302">
        <v>0</v>
      </c>
      <c r="AH232" s="302">
        <v>0</v>
      </c>
      <c r="AI232" s="302">
        <v>0</v>
      </c>
      <c r="AJ232" s="302">
        <v>0</v>
      </c>
      <c r="AK232" s="302">
        <v>0</v>
      </c>
      <c r="AL232" s="302">
        <v>0</v>
      </c>
      <c r="AM232" s="302">
        <v>0</v>
      </c>
      <c r="AN232" s="302">
        <v>0</v>
      </c>
      <c r="AO232" s="302">
        <v>0</v>
      </c>
      <c r="AP232" s="163"/>
    </row>
    <row r="233" spans="2:42" x14ac:dyDescent="0.3">
      <c r="B233" s="6"/>
      <c r="C233" s="6"/>
      <c r="D233" s="6">
        <f t="shared" si="17"/>
        <v>6</v>
      </c>
      <c r="E233" s="636" t="str">
        <f t="shared" ref="E233:E268" si="19">E193</f>
        <v>Energy Arbitrage - PJM Market</v>
      </c>
      <c r="F233" s="303"/>
      <c r="G233" s="304"/>
      <c r="H233" s="304"/>
      <c r="I233" s="304">
        <v>0</v>
      </c>
      <c r="J233" s="304">
        <v>0</v>
      </c>
      <c r="K233" s="304">
        <v>0</v>
      </c>
      <c r="L233" s="304">
        <v>0</v>
      </c>
      <c r="M233" s="304">
        <v>0</v>
      </c>
      <c r="N233" s="304">
        <v>0</v>
      </c>
      <c r="O233" s="304">
        <v>0</v>
      </c>
      <c r="P233" s="304">
        <v>0</v>
      </c>
      <c r="Q233" s="304">
        <v>0</v>
      </c>
      <c r="R233" s="304">
        <v>0</v>
      </c>
      <c r="S233" s="304">
        <v>0</v>
      </c>
      <c r="T233" s="304">
        <v>0</v>
      </c>
      <c r="U233" s="304">
        <v>0</v>
      </c>
      <c r="V233" s="304">
        <v>0</v>
      </c>
      <c r="W233" s="304">
        <v>0</v>
      </c>
      <c r="X233" s="304">
        <v>0</v>
      </c>
      <c r="Y233" s="304">
        <v>0</v>
      </c>
      <c r="Z233" s="304">
        <v>0</v>
      </c>
      <c r="AA233" s="304">
        <v>0</v>
      </c>
      <c r="AB233" s="304">
        <v>0</v>
      </c>
      <c r="AC233" s="304"/>
      <c r="AD233" s="304"/>
      <c r="AE233" s="304"/>
      <c r="AF233" s="304"/>
      <c r="AG233" s="304"/>
      <c r="AH233" s="304"/>
      <c r="AI233" s="304"/>
      <c r="AJ233" s="304"/>
      <c r="AK233" s="304"/>
      <c r="AL233" s="304"/>
      <c r="AM233" s="304"/>
      <c r="AN233" s="304"/>
      <c r="AO233" s="304"/>
      <c r="AP233" s="163"/>
    </row>
    <row r="234" spans="2:42" x14ac:dyDescent="0.3">
      <c r="B234" s="6"/>
      <c r="C234" s="6"/>
      <c r="D234" s="6">
        <f t="shared" si="17"/>
        <v>6</v>
      </c>
      <c r="E234" s="636" t="str">
        <f t="shared" si="19"/>
        <v>Spin- PJM Market</v>
      </c>
      <c r="F234" s="303"/>
      <c r="G234" s="304"/>
      <c r="H234" s="304"/>
      <c r="I234" s="304">
        <v>11303.999065810656</v>
      </c>
      <c r="J234" s="304">
        <v>10642.377669871525</v>
      </c>
      <c r="K234" s="304">
        <v>11305.426724860394</v>
      </c>
      <c r="L234" s="304">
        <v>10612.788879277517</v>
      </c>
      <c r="M234" s="304">
        <v>10093.578210445308</v>
      </c>
      <c r="N234" s="304">
        <v>10321.693532953324</v>
      </c>
      <c r="O234" s="304">
        <v>10549.80885546134</v>
      </c>
      <c r="P234" s="304">
        <v>10777.924177969357</v>
      </c>
      <c r="Q234" s="304">
        <v>11006.039500477373</v>
      </c>
      <c r="R234" s="304">
        <v>11234.154822985389</v>
      </c>
      <c r="S234" s="304">
        <v>11782.494917539369</v>
      </c>
      <c r="T234" s="304">
        <v>12330.835012093346</v>
      </c>
      <c r="U234" s="304">
        <v>12879.175106647326</v>
      </c>
      <c r="V234" s="304">
        <v>13427.515201201306</v>
      </c>
      <c r="W234" s="304">
        <v>13975.855295755284</v>
      </c>
      <c r="X234" s="304">
        <v>14504.694799743427</v>
      </c>
      <c r="Y234" s="304">
        <v>15033.534303731571</v>
      </c>
      <c r="Z234" s="304">
        <v>15562.373807719716</v>
      </c>
      <c r="AA234" s="304">
        <v>16091.213311707859</v>
      </c>
      <c r="AB234" s="304">
        <v>16620.052815696003</v>
      </c>
      <c r="AC234" s="304"/>
      <c r="AD234" s="304"/>
      <c r="AE234" s="304"/>
      <c r="AF234" s="304"/>
      <c r="AG234" s="304"/>
      <c r="AH234" s="304"/>
      <c r="AI234" s="304"/>
      <c r="AJ234" s="304"/>
      <c r="AK234" s="304"/>
      <c r="AL234" s="304"/>
      <c r="AM234" s="304"/>
      <c r="AN234" s="304"/>
      <c r="AO234" s="304"/>
      <c r="AP234" s="163"/>
    </row>
    <row r="235" spans="2:42" x14ac:dyDescent="0.3">
      <c r="B235" s="6"/>
      <c r="C235" s="6"/>
      <c r="D235" s="6">
        <f t="shared" si="17"/>
        <v>6</v>
      </c>
      <c r="E235" s="636" t="str">
        <f t="shared" si="19"/>
        <v>Non-Spin - PJM Market</v>
      </c>
      <c r="F235" s="303"/>
      <c r="G235" s="304"/>
      <c r="H235" s="304"/>
      <c r="I235" s="304">
        <v>0</v>
      </c>
      <c r="J235" s="304">
        <v>0</v>
      </c>
      <c r="K235" s="304">
        <v>0</v>
      </c>
      <c r="L235" s="304">
        <v>0</v>
      </c>
      <c r="M235" s="304">
        <v>0</v>
      </c>
      <c r="N235" s="304">
        <v>0</v>
      </c>
      <c r="O235" s="304">
        <v>0</v>
      </c>
      <c r="P235" s="304">
        <v>0</v>
      </c>
      <c r="Q235" s="304">
        <v>0</v>
      </c>
      <c r="R235" s="304">
        <v>0</v>
      </c>
      <c r="S235" s="304">
        <v>0</v>
      </c>
      <c r="T235" s="304">
        <v>0</v>
      </c>
      <c r="U235" s="304">
        <v>0</v>
      </c>
      <c r="V235" s="304">
        <v>0</v>
      </c>
      <c r="W235" s="304">
        <v>0</v>
      </c>
      <c r="X235" s="304">
        <v>0</v>
      </c>
      <c r="Y235" s="304">
        <v>0</v>
      </c>
      <c r="Z235" s="304">
        <v>0</v>
      </c>
      <c r="AA235" s="304">
        <v>0</v>
      </c>
      <c r="AB235" s="304">
        <v>0</v>
      </c>
      <c r="AC235" s="304"/>
      <c r="AD235" s="304"/>
      <c r="AE235" s="304"/>
      <c r="AF235" s="304"/>
      <c r="AG235" s="304"/>
      <c r="AH235" s="304"/>
      <c r="AI235" s="304"/>
      <c r="AJ235" s="304"/>
      <c r="AK235" s="304"/>
      <c r="AL235" s="304"/>
      <c r="AM235" s="304"/>
      <c r="AN235" s="304"/>
      <c r="AO235" s="304"/>
      <c r="AP235" s="163"/>
    </row>
    <row r="236" spans="2:42" x14ac:dyDescent="0.3">
      <c r="B236" s="6"/>
      <c r="C236" s="6"/>
      <c r="D236" s="6">
        <f t="shared" si="17"/>
        <v>6</v>
      </c>
      <c r="E236" s="636" t="str">
        <f t="shared" si="19"/>
        <v>Regulation - PJM Market</v>
      </c>
      <c r="F236" s="303"/>
      <c r="G236" s="304"/>
      <c r="H236" s="304"/>
      <c r="I236" s="304">
        <v>138274.41463318639</v>
      </c>
      <c r="J236" s="304">
        <v>86382.080825351542</v>
      </c>
      <c r="K236" s="304">
        <v>58327.195858715582</v>
      </c>
      <c r="L236" s="304">
        <v>44223.323574094444</v>
      </c>
      <c r="M236" s="304">
        <v>32033.198203342046</v>
      </c>
      <c r="N236" s="304">
        <v>28552.826923614823</v>
      </c>
      <c r="O236" s="304">
        <v>25072.455643887599</v>
      </c>
      <c r="P236" s="304">
        <v>21592.084364160375</v>
      </c>
      <c r="Q236" s="304">
        <v>18111.713084433151</v>
      </c>
      <c r="R236" s="304">
        <v>14631.341804705926</v>
      </c>
      <c r="S236" s="304">
        <v>15212.092719316564</v>
      </c>
      <c r="T236" s="304">
        <v>15792.843633927203</v>
      </c>
      <c r="U236" s="304">
        <v>16373.594548537843</v>
      </c>
      <c r="V236" s="304">
        <v>16954.345463148482</v>
      </c>
      <c r="W236" s="304">
        <v>17535.096377759121</v>
      </c>
      <c r="X236" s="304">
        <v>17775.853177395213</v>
      </c>
      <c r="Y236" s="304">
        <v>18016.609977031309</v>
      </c>
      <c r="Z236" s="304">
        <v>18257.366776667401</v>
      </c>
      <c r="AA236" s="304">
        <v>18498.123576303497</v>
      </c>
      <c r="AB236" s="304">
        <v>18738.880375939589</v>
      </c>
      <c r="AC236" s="304"/>
      <c r="AD236" s="304"/>
      <c r="AE236" s="304"/>
      <c r="AF236" s="304"/>
      <c r="AG236" s="304"/>
      <c r="AH236" s="304"/>
      <c r="AI236" s="304"/>
      <c r="AJ236" s="304"/>
      <c r="AK236" s="304"/>
      <c r="AL236" s="304"/>
      <c r="AM236" s="304"/>
      <c r="AN236" s="304"/>
      <c r="AO236" s="304"/>
      <c r="AP236" s="163"/>
    </row>
    <row r="237" spans="2:42" x14ac:dyDescent="0.3">
      <c r="B237" s="6"/>
      <c r="C237" s="6"/>
      <c r="D237" s="6">
        <f t="shared" si="17"/>
        <v>6</v>
      </c>
      <c r="E237" s="636" t="str">
        <f t="shared" si="19"/>
        <v>Incurred Energy Charges</v>
      </c>
      <c r="F237" s="303"/>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4"/>
      <c r="AN237" s="304"/>
      <c r="AO237" s="304"/>
      <c r="AP237" s="163"/>
    </row>
    <row r="238" spans="2:42" x14ac:dyDescent="0.3">
      <c r="B238" s="6"/>
      <c r="C238" s="6"/>
      <c r="D238" s="6">
        <f t="shared" si="17"/>
        <v>6</v>
      </c>
      <c r="E238" s="636" t="str">
        <f t="shared" si="19"/>
        <v>As Used Demand Charges</v>
      </c>
      <c r="F238" s="303"/>
      <c r="G238" s="304"/>
      <c r="H238" s="304"/>
      <c r="I238" s="304">
        <v>0</v>
      </c>
      <c r="J238" s="304">
        <v>0</v>
      </c>
      <c r="K238" s="304">
        <v>0</v>
      </c>
      <c r="L238" s="304">
        <v>0</v>
      </c>
      <c r="M238" s="304">
        <v>0</v>
      </c>
      <c r="N238" s="304">
        <v>0</v>
      </c>
      <c r="O238" s="304">
        <v>0</v>
      </c>
      <c r="P238" s="304">
        <v>0</v>
      </c>
      <c r="Q238" s="304">
        <v>0</v>
      </c>
      <c r="R238" s="304">
        <v>0</v>
      </c>
      <c r="S238" s="304">
        <v>0</v>
      </c>
      <c r="T238" s="304">
        <v>0</v>
      </c>
      <c r="U238" s="304">
        <v>0</v>
      </c>
      <c r="V238" s="304">
        <v>0</v>
      </c>
      <c r="W238" s="304">
        <v>0</v>
      </c>
      <c r="X238" s="304">
        <v>0</v>
      </c>
      <c r="Y238" s="304">
        <v>0</v>
      </c>
      <c r="Z238" s="304">
        <v>0</v>
      </c>
      <c r="AA238" s="304">
        <v>0</v>
      </c>
      <c r="AB238" s="304">
        <v>0</v>
      </c>
      <c r="AC238" s="304"/>
      <c r="AD238" s="304"/>
      <c r="AE238" s="304"/>
      <c r="AF238" s="304"/>
      <c r="AG238" s="304"/>
      <c r="AH238" s="304"/>
      <c r="AI238" s="304"/>
      <c r="AJ238" s="304"/>
      <c r="AK238" s="304"/>
      <c r="AL238" s="304"/>
      <c r="AM238" s="304"/>
      <c r="AN238" s="304"/>
      <c r="AO238" s="304"/>
      <c r="AP238" s="163"/>
    </row>
    <row r="239" spans="2:42" x14ac:dyDescent="0.3">
      <c r="B239" s="6"/>
      <c r="C239" s="6"/>
      <c r="D239" s="6">
        <f t="shared" si="17"/>
        <v>6</v>
      </c>
      <c r="E239" s="636" t="str">
        <f t="shared" si="19"/>
        <v>Contract Demand Charges  Fixed</v>
      </c>
      <c r="F239" s="303"/>
      <c r="G239" s="304"/>
      <c r="H239" s="304"/>
      <c r="I239" s="304">
        <v>0</v>
      </c>
      <c r="J239" s="304">
        <v>0</v>
      </c>
      <c r="K239" s="304">
        <v>0</v>
      </c>
      <c r="L239" s="304">
        <v>0</v>
      </c>
      <c r="M239" s="304">
        <v>0</v>
      </c>
      <c r="N239" s="304">
        <v>0</v>
      </c>
      <c r="O239" s="304">
        <v>0</v>
      </c>
      <c r="P239" s="304">
        <v>0</v>
      </c>
      <c r="Q239" s="304">
        <v>0</v>
      </c>
      <c r="R239" s="304">
        <v>0</v>
      </c>
      <c r="S239" s="304">
        <v>0</v>
      </c>
      <c r="T239" s="304">
        <v>0</v>
      </c>
      <c r="U239" s="304">
        <v>0</v>
      </c>
      <c r="V239" s="304">
        <v>0</v>
      </c>
      <c r="W239" s="304">
        <v>0</v>
      </c>
      <c r="X239" s="304">
        <v>0</v>
      </c>
      <c r="Y239" s="304">
        <v>0</v>
      </c>
      <c r="Z239" s="304">
        <v>0</v>
      </c>
      <c r="AA239" s="304">
        <v>0</v>
      </c>
      <c r="AB239" s="304">
        <v>0</v>
      </c>
      <c r="AC239" s="304"/>
      <c r="AD239" s="304"/>
      <c r="AE239" s="304"/>
      <c r="AF239" s="304"/>
      <c r="AG239" s="304"/>
      <c r="AH239" s="304"/>
      <c r="AI239" s="304"/>
      <c r="AJ239" s="304"/>
      <c r="AK239" s="304"/>
      <c r="AL239" s="304"/>
      <c r="AM239" s="304"/>
      <c r="AN239" s="304"/>
      <c r="AO239" s="304"/>
      <c r="AP239" s="163"/>
    </row>
    <row r="240" spans="2:42" x14ac:dyDescent="0.3">
      <c r="B240" s="6"/>
      <c r="C240" s="6"/>
      <c r="D240" s="6">
        <f t="shared" si="17"/>
        <v>6</v>
      </c>
      <c r="E240" s="636" t="str">
        <f t="shared" si="19"/>
        <v>Customer Charges/ Fixed Charges</v>
      </c>
      <c r="F240" s="303"/>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4"/>
      <c r="AN240" s="304"/>
      <c r="AO240" s="304"/>
      <c r="AP240" s="163"/>
    </row>
    <row r="241" spans="2:42" x14ac:dyDescent="0.3">
      <c r="B241" s="6"/>
      <c r="C241" s="6"/>
      <c r="D241" s="6">
        <f t="shared" si="17"/>
        <v>6</v>
      </c>
      <c r="E241" s="637" t="str">
        <f t="shared" si="19"/>
        <v>Energy Savings</v>
      </c>
      <c r="F241" s="303"/>
      <c r="G241" s="304"/>
      <c r="H241" s="304"/>
      <c r="I241" s="304">
        <v>-40407.533796708332</v>
      </c>
      <c r="J241" s="304">
        <v>-32845.387878256588</v>
      </c>
      <c r="K241" s="304">
        <v>-5903.1824726170453</v>
      </c>
      <c r="L241" s="617">
        <v>-5149.5565812194836</v>
      </c>
      <c r="M241" s="617">
        <v>-190.38137958032894</v>
      </c>
      <c r="N241" s="617">
        <v>-61.347523558064125</v>
      </c>
      <c r="O241" s="617">
        <v>67.686332464200689</v>
      </c>
      <c r="P241" s="617">
        <v>196.72018848646553</v>
      </c>
      <c r="Q241" s="617">
        <v>325.75404450873032</v>
      </c>
      <c r="R241" s="617">
        <v>454.7879005309951</v>
      </c>
      <c r="S241" s="617">
        <v>-2693.2267021519947</v>
      </c>
      <c r="T241" s="617">
        <v>-5841.2413048349845</v>
      </c>
      <c r="U241" s="617">
        <v>-8989.2559075179743</v>
      </c>
      <c r="V241" s="617">
        <v>-12137.270510200964</v>
      </c>
      <c r="W241" s="617">
        <v>-15285.285112883954</v>
      </c>
      <c r="X241" s="617">
        <v>-18986.278267016889</v>
      </c>
      <c r="Y241" s="617">
        <v>-22687.271421149828</v>
      </c>
      <c r="Z241" s="617">
        <v>-26388.264575282763</v>
      </c>
      <c r="AA241" s="617">
        <v>-30089.257729415702</v>
      </c>
      <c r="AB241" s="304">
        <v>-33790.250883548637</v>
      </c>
      <c r="AC241" s="304"/>
      <c r="AD241" s="304"/>
      <c r="AE241" s="304"/>
      <c r="AF241" s="304"/>
      <c r="AG241" s="304"/>
      <c r="AH241" s="304"/>
      <c r="AI241" s="304"/>
      <c r="AJ241" s="304"/>
      <c r="AK241" s="304"/>
      <c r="AL241" s="304"/>
      <c r="AM241" s="304"/>
      <c r="AN241" s="304"/>
      <c r="AO241" s="304"/>
      <c r="AP241" s="163"/>
    </row>
    <row r="242" spans="2:42" x14ac:dyDescent="0.3">
      <c r="B242" s="6"/>
      <c r="C242" s="6"/>
      <c r="D242" s="6">
        <f t="shared" si="17"/>
        <v>6</v>
      </c>
      <c r="E242" s="637" t="str">
        <f t="shared" si="19"/>
        <v xml:space="preserve">Demand Savings </v>
      </c>
      <c r="F242" s="303"/>
      <c r="G242" s="304"/>
      <c r="H242" s="304"/>
      <c r="I242" s="304">
        <v>54640.618005741992</v>
      </c>
      <c r="J242" s="304">
        <v>68290.904985220142</v>
      </c>
      <c r="K242" s="304">
        <v>86674.130290285524</v>
      </c>
      <c r="L242" s="617">
        <v>90047.100630858127</v>
      </c>
      <c r="M242" s="617">
        <v>81356.108642917461</v>
      </c>
      <c r="N242" s="617">
        <v>80700.424133790773</v>
      </c>
      <c r="O242" s="617">
        <v>80044.739624664086</v>
      </c>
      <c r="P242" s="617">
        <v>79389.055115537398</v>
      </c>
      <c r="Q242" s="617">
        <v>78733.37060641071</v>
      </c>
      <c r="R242" s="617">
        <v>78077.686097284008</v>
      </c>
      <c r="S242" s="617">
        <v>73748.821150784672</v>
      </c>
      <c r="T242" s="617">
        <v>69419.956204285336</v>
      </c>
      <c r="U242" s="617">
        <v>65091.091257785993</v>
      </c>
      <c r="V242" s="617">
        <v>60762.226311286649</v>
      </c>
      <c r="W242" s="617">
        <v>56433.361364787299</v>
      </c>
      <c r="X242" s="617">
        <v>53607.514038400179</v>
      </c>
      <c r="Y242" s="617">
        <v>50781.666712013059</v>
      </c>
      <c r="Z242" s="617">
        <v>47955.819385625939</v>
      </c>
      <c r="AA242" s="617">
        <v>45129.972059238818</v>
      </c>
      <c r="AB242" s="304">
        <v>42304.124732851698</v>
      </c>
      <c r="AC242" s="304"/>
      <c r="AD242" s="304"/>
      <c r="AE242" s="304"/>
      <c r="AF242" s="304"/>
      <c r="AG242" s="304"/>
      <c r="AH242" s="304"/>
      <c r="AI242" s="304"/>
      <c r="AJ242" s="304"/>
      <c r="AK242" s="304"/>
      <c r="AL242" s="304"/>
      <c r="AM242" s="304"/>
      <c r="AN242" s="304"/>
      <c r="AO242" s="304"/>
      <c r="AP242" s="163"/>
    </row>
    <row r="243" spans="2:42" x14ac:dyDescent="0.3">
      <c r="B243" s="6"/>
      <c r="C243" s="6"/>
      <c r="D243" s="6">
        <f t="shared" si="17"/>
        <v>6</v>
      </c>
      <c r="E243" s="638" t="str">
        <f t="shared" si="19"/>
        <v>Energy Generation - Export</v>
      </c>
      <c r="F243" s="303"/>
      <c r="G243" s="304"/>
      <c r="H243" s="304"/>
      <c r="I243" s="304">
        <v>16641.921265483103</v>
      </c>
      <c r="J243" s="304">
        <v>16159.912030746704</v>
      </c>
      <c r="K243" s="304">
        <v>7341.7637795348019</v>
      </c>
      <c r="L243" s="617">
        <v>7770.7913088062014</v>
      </c>
      <c r="M243" s="617">
        <v>11213.485870678865</v>
      </c>
      <c r="N243" s="617">
        <v>13053.360721625329</v>
      </c>
      <c r="O243" s="617">
        <v>14893.235572571793</v>
      </c>
      <c r="P243" s="617">
        <v>16733.110423518257</v>
      </c>
      <c r="Q243" s="617">
        <v>18572.985274464721</v>
      </c>
      <c r="R243" s="617">
        <v>20412.860125411185</v>
      </c>
      <c r="S243" s="617">
        <v>25147.672384872516</v>
      </c>
      <c r="T243" s="617">
        <v>29882.48464433385</v>
      </c>
      <c r="U243" s="617">
        <v>34617.296903795184</v>
      </c>
      <c r="V243" s="617">
        <v>39352.109163256515</v>
      </c>
      <c r="W243" s="617">
        <v>44086.921422717845</v>
      </c>
      <c r="X243" s="617">
        <v>46919.629853516992</v>
      </c>
      <c r="Y243" s="617">
        <v>49752.338284316138</v>
      </c>
      <c r="Z243" s="617">
        <v>52585.046715115284</v>
      </c>
      <c r="AA243" s="617">
        <v>55417.755145914423</v>
      </c>
      <c r="AB243" s="304">
        <v>58250.46357671357</v>
      </c>
      <c r="AC243" s="304"/>
      <c r="AD243" s="304"/>
      <c r="AE243" s="304"/>
      <c r="AF243" s="304"/>
      <c r="AG243" s="304"/>
      <c r="AH243" s="304"/>
      <c r="AI243" s="304"/>
      <c r="AJ243" s="304"/>
      <c r="AK243" s="304"/>
      <c r="AL243" s="304"/>
      <c r="AM243" s="304"/>
      <c r="AN243" s="304"/>
      <c r="AO243" s="304"/>
      <c r="AP243" s="163"/>
    </row>
    <row r="244" spans="2:42" x14ac:dyDescent="0.3">
      <c r="B244" s="6"/>
      <c r="C244" s="6"/>
      <c r="D244" s="6">
        <f t="shared" si="17"/>
        <v>6</v>
      </c>
      <c r="E244" s="638" t="str">
        <f t="shared" si="19"/>
        <v>Generation Capacity</v>
      </c>
      <c r="F244" s="303"/>
      <c r="G244" s="304"/>
      <c r="H244" s="304"/>
      <c r="I244" s="304">
        <v>90353.83534879559</v>
      </c>
      <c r="J244" s="304">
        <v>91639.640482016475</v>
      </c>
      <c r="K244" s="304">
        <v>62758.086962182526</v>
      </c>
      <c r="L244" s="617">
        <v>62626.849917599175</v>
      </c>
      <c r="M244" s="617">
        <v>63947.787218787635</v>
      </c>
      <c r="N244" s="617">
        <v>64931.073952333456</v>
      </c>
      <c r="O244" s="617">
        <v>65914.360685879277</v>
      </c>
      <c r="P244" s="617">
        <v>66897.647419425106</v>
      </c>
      <c r="Q244" s="617">
        <v>67880.934152970935</v>
      </c>
      <c r="R244" s="617">
        <v>68864.220886516749</v>
      </c>
      <c r="S244" s="617">
        <v>71180.300875257672</v>
      </c>
      <c r="T244" s="617">
        <v>72615.830964738881</v>
      </c>
      <c r="U244" s="617">
        <v>74051.361054220091</v>
      </c>
      <c r="V244" s="617">
        <v>75486.891143701301</v>
      </c>
      <c r="W244" s="617">
        <v>76922.421233182497</v>
      </c>
      <c r="X244" s="617">
        <v>79325.405675791859</v>
      </c>
      <c r="Y244" s="617">
        <v>81728.390118401221</v>
      </c>
      <c r="Z244" s="617">
        <v>84131.374561010583</v>
      </c>
      <c r="AA244" s="617">
        <v>86534.359003619946</v>
      </c>
      <c r="AB244" s="304">
        <v>88937.343446229293</v>
      </c>
      <c r="AC244" s="304"/>
      <c r="AD244" s="304"/>
      <c r="AE244" s="304"/>
      <c r="AF244" s="304"/>
      <c r="AG244" s="304"/>
      <c r="AH244" s="304"/>
      <c r="AI244" s="304"/>
      <c r="AJ244" s="304"/>
      <c r="AK244" s="304"/>
      <c r="AL244" s="304"/>
      <c r="AM244" s="304"/>
      <c r="AN244" s="304"/>
      <c r="AO244" s="304"/>
      <c r="AP244" s="163"/>
    </row>
    <row r="245" spans="2:42" x14ac:dyDescent="0.3">
      <c r="B245" s="6"/>
      <c r="C245" s="6"/>
      <c r="D245" s="6">
        <f t="shared" si="17"/>
        <v>6</v>
      </c>
      <c r="E245" s="638" t="str">
        <f t="shared" si="19"/>
        <v>Transmission Capacity</v>
      </c>
      <c r="F245" s="303"/>
      <c r="G245" s="304"/>
      <c r="H245" s="304"/>
      <c r="I245" s="304">
        <v>30790.913355364846</v>
      </c>
      <c r="J245" s="304">
        <v>31229.091926269477</v>
      </c>
      <c r="K245" s="304">
        <v>21386.793494060275</v>
      </c>
      <c r="L245" s="617">
        <v>21342.070340326056</v>
      </c>
      <c r="M245" s="617">
        <v>21792.221303279122</v>
      </c>
      <c r="N245" s="617">
        <v>22127.307207482445</v>
      </c>
      <c r="O245" s="617">
        <v>22462.393111685764</v>
      </c>
      <c r="P245" s="617">
        <v>22797.479015889086</v>
      </c>
      <c r="Q245" s="617">
        <v>23132.564920092405</v>
      </c>
      <c r="R245" s="617">
        <v>23467.650824295732</v>
      </c>
      <c r="S245" s="617">
        <v>23816.361558213535</v>
      </c>
      <c r="T245" s="617">
        <v>23978.401177816049</v>
      </c>
      <c r="U245" s="617">
        <v>24140.440797418563</v>
      </c>
      <c r="V245" s="617">
        <v>24302.480417021074</v>
      </c>
      <c r="W245" s="617">
        <v>24464.520036623577</v>
      </c>
      <c r="X245" s="617">
        <v>24542.309675759148</v>
      </c>
      <c r="Y245" s="617">
        <v>24620.09931489472</v>
      </c>
      <c r="Z245" s="617">
        <v>24697.888954030299</v>
      </c>
      <c r="AA245" s="617">
        <v>24775.678593165871</v>
      </c>
      <c r="AB245" s="304">
        <v>24853.468232301442</v>
      </c>
      <c r="AC245" s="304"/>
      <c r="AD245" s="304"/>
      <c r="AE245" s="304"/>
      <c r="AF245" s="304"/>
      <c r="AG245" s="304"/>
      <c r="AH245" s="304"/>
      <c r="AI245" s="304"/>
      <c r="AJ245" s="304"/>
      <c r="AK245" s="304"/>
      <c r="AL245" s="304"/>
      <c r="AM245" s="304"/>
      <c r="AN245" s="304"/>
      <c r="AO245" s="304"/>
      <c r="AP245" s="163"/>
    </row>
    <row r="246" spans="2:42" x14ac:dyDescent="0.3">
      <c r="B246" s="6"/>
      <c r="C246" s="6"/>
      <c r="D246" s="6">
        <f t="shared" si="17"/>
        <v>6</v>
      </c>
      <c r="E246" s="638" t="str">
        <f t="shared" si="19"/>
        <v>Distribution Capacity</v>
      </c>
      <c r="F246" s="303"/>
      <c r="G246" s="304"/>
      <c r="H246" s="304"/>
      <c r="I246" s="304">
        <v>4980.2250952728627</v>
      </c>
      <c r="J246" s="304">
        <v>5582.6589022026983</v>
      </c>
      <c r="K246" s="304">
        <v>4415.6692298565667</v>
      </c>
      <c r="L246" s="617">
        <v>4492.3824551345306</v>
      </c>
      <c r="M246" s="617">
        <v>5296.5966590951548</v>
      </c>
      <c r="N246" s="617">
        <v>5364.0372407436189</v>
      </c>
      <c r="O246" s="617">
        <v>5431.4778223920821</v>
      </c>
      <c r="P246" s="617">
        <v>5498.9184040405462</v>
      </c>
      <c r="Q246" s="617">
        <v>5566.3589856890094</v>
      </c>
      <c r="R246" s="617">
        <v>5633.7995673374717</v>
      </c>
      <c r="S246" s="617">
        <v>5704.8387318963096</v>
      </c>
      <c r="T246" s="617">
        <v>5731.0643933509009</v>
      </c>
      <c r="U246" s="617">
        <v>5757.2900548054913</v>
      </c>
      <c r="V246" s="617">
        <v>5783.5157162600835</v>
      </c>
      <c r="W246" s="617">
        <v>5809.7413777146739</v>
      </c>
      <c r="X246" s="617">
        <v>5986.0567762187402</v>
      </c>
      <c r="Y246" s="617">
        <v>6162.3721747228046</v>
      </c>
      <c r="Z246" s="617">
        <v>6338.68757322687</v>
      </c>
      <c r="AA246" s="617">
        <v>6515.0029717309362</v>
      </c>
      <c r="AB246" s="304">
        <v>6691.3183702350025</v>
      </c>
      <c r="AC246" s="304"/>
      <c r="AD246" s="304"/>
      <c r="AE246" s="304"/>
      <c r="AF246" s="304"/>
      <c r="AG246" s="304"/>
      <c r="AH246" s="304"/>
      <c r="AI246" s="304"/>
      <c r="AJ246" s="304"/>
      <c r="AK246" s="304"/>
      <c r="AL246" s="304"/>
      <c r="AM246" s="304"/>
      <c r="AN246" s="304"/>
      <c r="AO246" s="304"/>
      <c r="AP246" s="163"/>
    </row>
    <row r="247" spans="2:42" x14ac:dyDescent="0.3">
      <c r="B247" s="6"/>
      <c r="C247" s="6"/>
      <c r="D247" s="6">
        <f t="shared" si="17"/>
        <v>6</v>
      </c>
      <c r="E247" s="638" t="str">
        <f t="shared" si="19"/>
        <v>GHG Impacts</v>
      </c>
      <c r="F247" s="303"/>
      <c r="G247" s="304"/>
      <c r="H247" s="304"/>
      <c r="I247" s="304">
        <v>63628.543996651242</v>
      </c>
      <c r="J247" s="304">
        <v>62008.780318280915</v>
      </c>
      <c r="K247" s="304">
        <v>18939.375053034171</v>
      </c>
      <c r="L247" s="617">
        <v>21974.913530404101</v>
      </c>
      <c r="M247" s="617">
        <v>27538.860401207483</v>
      </c>
      <c r="N247" s="617">
        <v>37428.234919087794</v>
      </c>
      <c r="O247" s="617">
        <v>47317.609436968109</v>
      </c>
      <c r="P247" s="617">
        <v>57206.983954848416</v>
      </c>
      <c r="Q247" s="617">
        <v>67096.358472728738</v>
      </c>
      <c r="R247" s="617">
        <v>76985.732990609045</v>
      </c>
      <c r="S247" s="617">
        <v>94633.096329946085</v>
      </c>
      <c r="T247" s="617">
        <v>112280.45966928313</v>
      </c>
      <c r="U247" s="617">
        <v>129927.82300862015</v>
      </c>
      <c r="V247" s="617">
        <v>147575.18634795718</v>
      </c>
      <c r="W247" s="617">
        <v>165222.54968729423</v>
      </c>
      <c r="X247" s="617">
        <v>181848.86417550774</v>
      </c>
      <c r="Y247" s="617">
        <v>198475.17866372128</v>
      </c>
      <c r="Z247" s="617">
        <v>215101.49315193479</v>
      </c>
      <c r="AA247" s="617">
        <v>231727.80764014833</v>
      </c>
      <c r="AB247" s="304">
        <v>248354.12212836184</v>
      </c>
      <c r="AC247" s="304"/>
      <c r="AD247" s="304"/>
      <c r="AE247" s="304"/>
      <c r="AF247" s="304"/>
      <c r="AG247" s="304"/>
      <c r="AH247" s="304"/>
      <c r="AI247" s="304"/>
      <c r="AJ247" s="304"/>
      <c r="AK247" s="304"/>
      <c r="AL247" s="304"/>
      <c r="AM247" s="304"/>
      <c r="AN247" s="304"/>
      <c r="AO247" s="304"/>
      <c r="AP247" s="163"/>
    </row>
    <row r="248" spans="2:42" x14ac:dyDescent="0.3">
      <c r="B248" s="6"/>
      <c r="C248" s="6"/>
      <c r="D248" s="6">
        <f t="shared" si="17"/>
        <v>6</v>
      </c>
      <c r="E248" s="638" t="str">
        <f t="shared" si="19"/>
        <v>Market Price Effects - Wholesale Energy</v>
      </c>
      <c r="F248" s="303"/>
      <c r="G248" s="304"/>
      <c r="H248" s="304"/>
      <c r="I248" s="304">
        <v>3941.4222407009934</v>
      </c>
      <c r="J248" s="304">
        <v>6728.7595069880845</v>
      </c>
      <c r="K248" s="304">
        <v>8825.6688663825589</v>
      </c>
      <c r="L248" s="617">
        <v>9005.1254832747836</v>
      </c>
      <c r="M248" s="617">
        <v>17295.843767111452</v>
      </c>
      <c r="N248" s="617">
        <v>16286.287696890728</v>
      </c>
      <c r="O248" s="617">
        <v>15276.731626670004</v>
      </c>
      <c r="P248" s="617">
        <v>14267.175556449278</v>
      </c>
      <c r="Q248" s="617">
        <v>13257.619486228554</v>
      </c>
      <c r="R248" s="617">
        <v>12248.06341600783</v>
      </c>
      <c r="S248" s="617">
        <v>15260.626828166101</v>
      </c>
      <c r="T248" s="617">
        <v>18273.190240324373</v>
      </c>
      <c r="U248" s="617">
        <v>21285.753652482643</v>
      </c>
      <c r="V248" s="617">
        <v>24298.317064640913</v>
      </c>
      <c r="W248" s="617">
        <v>27310.880476799186</v>
      </c>
      <c r="X248" s="617">
        <v>28848.570242354832</v>
      </c>
      <c r="Y248" s="617">
        <v>30386.260007910478</v>
      </c>
      <c r="Z248" s="617">
        <v>31923.94977346612</v>
      </c>
      <c r="AA248" s="617">
        <v>33461.639539021766</v>
      </c>
      <c r="AB248" s="304">
        <v>34999.329304577412</v>
      </c>
      <c r="AC248" s="304"/>
      <c r="AD248" s="304"/>
      <c r="AE248" s="304"/>
      <c r="AF248" s="304"/>
      <c r="AG248" s="304"/>
      <c r="AH248" s="304"/>
      <c r="AI248" s="304"/>
      <c r="AJ248" s="304"/>
      <c r="AK248" s="304"/>
      <c r="AL248" s="304"/>
      <c r="AM248" s="304"/>
      <c r="AN248" s="304"/>
      <c r="AO248" s="304"/>
      <c r="AP248" s="163"/>
    </row>
    <row r="249" spans="2:42" x14ac:dyDescent="0.3">
      <c r="B249" s="6"/>
      <c r="C249" s="6"/>
      <c r="D249" s="6">
        <f t="shared" si="17"/>
        <v>6</v>
      </c>
      <c r="E249" s="638" t="str">
        <f t="shared" si="19"/>
        <v>Market Price Effects - Wholesale Capacity</v>
      </c>
      <c r="F249" s="303"/>
      <c r="G249" s="304"/>
      <c r="H249" s="304"/>
      <c r="I249" s="304">
        <v>0</v>
      </c>
      <c r="J249" s="304">
        <v>0</v>
      </c>
      <c r="K249" s="304">
        <v>0</v>
      </c>
      <c r="L249" s="617">
        <v>0</v>
      </c>
      <c r="M249" s="617">
        <v>0</v>
      </c>
      <c r="N249" s="617">
        <v>0</v>
      </c>
      <c r="O249" s="617">
        <v>0</v>
      </c>
      <c r="P249" s="617">
        <v>0</v>
      </c>
      <c r="Q249" s="617">
        <v>0</v>
      </c>
      <c r="R249" s="617">
        <v>0</v>
      </c>
      <c r="S249" s="617">
        <v>0</v>
      </c>
      <c r="T249" s="617">
        <v>0</v>
      </c>
      <c r="U249" s="617">
        <v>0</v>
      </c>
      <c r="V249" s="617">
        <v>0</v>
      </c>
      <c r="W249" s="617">
        <v>0</v>
      </c>
      <c r="X249" s="617">
        <v>0</v>
      </c>
      <c r="Y249" s="617">
        <v>0</v>
      </c>
      <c r="Z249" s="617">
        <v>0</v>
      </c>
      <c r="AA249" s="617">
        <v>0</v>
      </c>
      <c r="AB249" s="304">
        <v>0</v>
      </c>
      <c r="AC249" s="304"/>
      <c r="AD249" s="304"/>
      <c r="AE249" s="304"/>
      <c r="AF249" s="304"/>
      <c r="AG249" s="304"/>
      <c r="AH249" s="304"/>
      <c r="AI249" s="304"/>
      <c r="AJ249" s="304"/>
      <c r="AK249" s="304"/>
      <c r="AL249" s="304"/>
      <c r="AM249" s="304"/>
      <c r="AN249" s="304"/>
      <c r="AO249" s="304"/>
      <c r="AP249" s="163"/>
    </row>
    <row r="250" spans="2:42" x14ac:dyDescent="0.3">
      <c r="B250" s="6"/>
      <c r="C250" s="6"/>
      <c r="D250" s="6">
        <f t="shared" si="17"/>
        <v>6</v>
      </c>
      <c r="E250" s="639" t="str">
        <f t="shared" si="19"/>
        <v>Avoided Cost of Participant Backup Generator</v>
      </c>
      <c r="F250" s="303"/>
      <c r="G250" s="303"/>
      <c r="H250" s="304"/>
      <c r="I250" s="303"/>
      <c r="J250" s="303"/>
      <c r="K250" s="303"/>
      <c r="L250" s="303"/>
      <c r="M250" s="303"/>
      <c r="N250" s="303"/>
      <c r="O250" s="303"/>
      <c r="P250" s="303"/>
      <c r="Q250" s="303"/>
      <c r="R250" s="303"/>
      <c r="S250" s="303"/>
      <c r="T250" s="303"/>
      <c r="U250" s="303"/>
      <c r="V250" s="303"/>
      <c r="W250" s="303"/>
      <c r="X250" s="303"/>
      <c r="Y250" s="303"/>
      <c r="Z250" s="303"/>
      <c r="AA250" s="303"/>
      <c r="AB250" s="303"/>
      <c r="AC250" s="303"/>
      <c r="AD250" s="303"/>
      <c r="AE250" s="303"/>
      <c r="AF250" s="303"/>
      <c r="AG250" s="303"/>
      <c r="AH250" s="303"/>
      <c r="AI250" s="303"/>
      <c r="AJ250" s="303"/>
      <c r="AK250" s="303"/>
      <c r="AL250" s="303"/>
      <c r="AM250" s="303"/>
      <c r="AN250" s="303"/>
      <c r="AO250" s="303"/>
      <c r="AP250" s="163"/>
    </row>
    <row r="251" spans="2:42" x14ac:dyDescent="0.3">
      <c r="B251" s="6"/>
      <c r="C251" s="6"/>
      <c r="D251" s="6">
        <f t="shared" si="17"/>
        <v>6</v>
      </c>
      <c r="E251" s="640" t="str">
        <f t="shared" si="19"/>
        <v>Full Eq DoD Cycle</v>
      </c>
      <c r="F251" s="303"/>
      <c r="G251" s="303"/>
      <c r="H251" s="313"/>
      <c r="I251" s="308">
        <v>362.17748784825534</v>
      </c>
      <c r="J251" s="308">
        <v>327.50292573556357</v>
      </c>
      <c r="K251" s="308">
        <v>240.29408548796658</v>
      </c>
      <c r="L251" s="618">
        <v>222.74548324203059</v>
      </c>
      <c r="M251" s="618">
        <v>215.87345376203118</v>
      </c>
      <c r="N251" s="618">
        <v>215.87345376203118</v>
      </c>
      <c r="O251" s="618">
        <v>215.87345376203118</v>
      </c>
      <c r="P251" s="618">
        <v>215.87345376203118</v>
      </c>
      <c r="Q251" s="618">
        <v>215.87345376203118</v>
      </c>
      <c r="R251" s="618">
        <v>239.32121292854535</v>
      </c>
      <c r="S251" s="618">
        <v>239.32121292854535</v>
      </c>
      <c r="T251" s="618">
        <v>239.32121292854535</v>
      </c>
      <c r="U251" s="618">
        <v>239.32121292854535</v>
      </c>
      <c r="V251" s="618">
        <v>239.32121292854535</v>
      </c>
      <c r="W251" s="618">
        <v>345.7786374395335</v>
      </c>
      <c r="X251" s="618">
        <v>345.7786374395335</v>
      </c>
      <c r="Y251" s="618">
        <v>345.7786374395335</v>
      </c>
      <c r="Z251" s="618">
        <v>345.7786374395335</v>
      </c>
      <c r="AA251" s="618">
        <v>345.7786374395335</v>
      </c>
      <c r="AB251" s="308">
        <v>365.0000000000004</v>
      </c>
      <c r="AC251" s="309"/>
      <c r="AD251" s="309"/>
      <c r="AE251" s="309"/>
      <c r="AF251" s="309"/>
      <c r="AG251" s="309"/>
      <c r="AH251" s="309"/>
      <c r="AI251" s="309"/>
      <c r="AJ251" s="309"/>
      <c r="AK251" s="309"/>
      <c r="AL251" s="309"/>
      <c r="AM251" s="309"/>
      <c r="AN251" s="309"/>
      <c r="AO251" s="309"/>
      <c r="AP251" s="163"/>
    </row>
    <row r="252" spans="2:42" x14ac:dyDescent="0.3">
      <c r="B252" s="6"/>
      <c r="C252" s="6"/>
      <c r="D252" s="6">
        <f t="shared" si="17"/>
        <v>6</v>
      </c>
      <c r="E252" s="640" t="str">
        <f t="shared" si="19"/>
        <v>Export MWh</v>
      </c>
      <c r="F252" s="303"/>
      <c r="G252" s="303"/>
      <c r="H252" s="313"/>
      <c r="I252" s="308">
        <v>436.2</v>
      </c>
      <c r="J252" s="308">
        <v>398.77</v>
      </c>
      <c r="K252" s="308">
        <v>165.53200000000001</v>
      </c>
      <c r="L252" s="618">
        <v>161.1</v>
      </c>
      <c r="M252" s="618">
        <v>193.33</v>
      </c>
      <c r="N252" s="618">
        <v>213.17660000000001</v>
      </c>
      <c r="O252" s="618">
        <v>233.0232</v>
      </c>
      <c r="P252" s="618">
        <v>252.8698</v>
      </c>
      <c r="Q252" s="618">
        <v>272.71640000000002</v>
      </c>
      <c r="R252" s="618">
        <v>292.56299999999999</v>
      </c>
      <c r="S252" s="618">
        <v>347.89440000000002</v>
      </c>
      <c r="T252" s="618">
        <v>403.22580000000005</v>
      </c>
      <c r="U252" s="618">
        <v>458.55720000000008</v>
      </c>
      <c r="V252" s="618">
        <v>513.88860000000011</v>
      </c>
      <c r="W252" s="618">
        <v>569.22</v>
      </c>
      <c r="X252" s="618">
        <v>596.02160000000003</v>
      </c>
      <c r="Y252" s="618">
        <v>622.82320000000004</v>
      </c>
      <c r="Z252" s="618">
        <v>649.62480000000005</v>
      </c>
      <c r="AA252" s="618">
        <v>676.42640000000006</v>
      </c>
      <c r="AB252" s="308">
        <v>703.22799999999995</v>
      </c>
      <c r="AC252" s="309"/>
      <c r="AD252" s="309"/>
      <c r="AE252" s="309"/>
      <c r="AF252" s="309"/>
      <c r="AG252" s="309"/>
      <c r="AH252" s="309"/>
      <c r="AI252" s="309"/>
      <c r="AJ252" s="309"/>
      <c r="AK252" s="309"/>
      <c r="AL252" s="309"/>
      <c r="AM252" s="309"/>
      <c r="AN252" s="309"/>
      <c r="AO252" s="309"/>
      <c r="AP252" s="163"/>
    </row>
    <row r="253" spans="2:42" x14ac:dyDescent="0.3">
      <c r="B253" s="6"/>
      <c r="C253" s="6"/>
      <c r="D253" s="6">
        <f t="shared" si="17"/>
        <v>6</v>
      </c>
      <c r="E253" s="640" t="str">
        <f t="shared" si="19"/>
        <v>Charge MWh</v>
      </c>
      <c r="F253" s="303"/>
      <c r="G253" s="303"/>
      <c r="H253" s="313"/>
      <c r="I253" s="311"/>
      <c r="J253" s="311"/>
      <c r="K253" s="311"/>
      <c r="L253" s="619"/>
      <c r="M253" s="619"/>
      <c r="N253" s="619"/>
      <c r="O253" s="619"/>
      <c r="P253" s="619"/>
      <c r="Q253" s="619"/>
      <c r="R253" s="619"/>
      <c r="S253" s="619"/>
      <c r="T253" s="619"/>
      <c r="U253" s="619"/>
      <c r="V253" s="619"/>
      <c r="W253" s="619"/>
      <c r="X253" s="619"/>
      <c r="Y253" s="619"/>
      <c r="Z253" s="619"/>
      <c r="AA253" s="619"/>
      <c r="AB253" s="311"/>
      <c r="AC253" s="313"/>
      <c r="AD253" s="313"/>
      <c r="AE253" s="313"/>
      <c r="AF253" s="313"/>
      <c r="AG253" s="313"/>
      <c r="AH253" s="313"/>
      <c r="AI253" s="313"/>
      <c r="AJ253" s="313"/>
      <c r="AK253" s="313"/>
      <c r="AL253" s="313"/>
      <c r="AM253" s="313"/>
      <c r="AN253" s="313"/>
      <c r="AO253" s="313"/>
      <c r="AP253" s="163"/>
    </row>
    <row r="254" spans="2:42" x14ac:dyDescent="0.3">
      <c r="B254" s="6"/>
      <c r="C254" s="6"/>
      <c r="D254" s="6">
        <f t="shared" si="17"/>
        <v>6</v>
      </c>
      <c r="E254" s="641" t="str">
        <f t="shared" si="19"/>
        <v>Total ESS Charge MWh</v>
      </c>
      <c r="F254" s="303"/>
      <c r="G254" s="303"/>
      <c r="H254" s="313"/>
      <c r="I254" s="308">
        <v>1700.0351118335743</v>
      </c>
      <c r="J254" s="308">
        <v>1536.869747088263</v>
      </c>
      <c r="K254" s="308">
        <v>1126.4979540207926</v>
      </c>
      <c r="L254" s="618">
        <v>1043.9208741164305</v>
      </c>
      <c r="M254" s="618">
        <v>1011.5837044933362</v>
      </c>
      <c r="N254" s="618">
        <v>1011.5837044933362</v>
      </c>
      <c r="O254" s="618">
        <v>1011.5837044933362</v>
      </c>
      <c r="P254" s="618">
        <v>1011.5837044933362</v>
      </c>
      <c r="Q254" s="618">
        <v>1011.5837044933362</v>
      </c>
      <c r="R254" s="618">
        <v>1121.9199839950206</v>
      </c>
      <c r="S254" s="618">
        <v>1121.9199839950206</v>
      </c>
      <c r="T254" s="618">
        <v>1121.9199839950206</v>
      </c>
      <c r="U254" s="618">
        <v>1121.9199839950206</v>
      </c>
      <c r="V254" s="618">
        <v>1121.9199839950206</v>
      </c>
      <c r="W254" s="618">
        <v>1622.8683288862699</v>
      </c>
      <c r="X254" s="618">
        <v>1622.8683288862699</v>
      </c>
      <c r="Y254" s="618">
        <v>1622.8683288862699</v>
      </c>
      <c r="Z254" s="618">
        <v>1622.8683288862699</v>
      </c>
      <c r="AA254" s="618">
        <v>1622.8683288862699</v>
      </c>
      <c r="AB254" s="308">
        <v>1713.316785679687</v>
      </c>
      <c r="AC254" s="309"/>
      <c r="AD254" s="309"/>
      <c r="AE254" s="309"/>
      <c r="AF254" s="309"/>
      <c r="AG254" s="309"/>
      <c r="AH254" s="309"/>
      <c r="AI254" s="309"/>
      <c r="AJ254" s="309"/>
      <c r="AK254" s="309"/>
      <c r="AL254" s="309"/>
      <c r="AM254" s="309"/>
      <c r="AN254" s="309"/>
      <c r="AO254" s="309"/>
      <c r="AP254" s="163"/>
    </row>
    <row r="255" spans="2:42" x14ac:dyDescent="0.3">
      <c r="B255" s="6"/>
      <c r="C255" s="6"/>
      <c r="D255" s="6">
        <f t="shared" si="17"/>
        <v>6</v>
      </c>
      <c r="E255" s="642" t="str">
        <f t="shared" si="19"/>
        <v>Avg Generation Capacity</v>
      </c>
      <c r="F255" s="303"/>
      <c r="G255" s="303"/>
      <c r="H255" s="313"/>
      <c r="I255" s="308">
        <v>0.66184238348438706</v>
      </c>
      <c r="J255" s="308">
        <v>0.47861500195445489</v>
      </c>
      <c r="K255" s="308">
        <v>0.91300352219958758</v>
      </c>
      <c r="L255" s="308">
        <v>0.74823312816475174</v>
      </c>
      <c r="M255" s="308">
        <v>0.35713025500336987</v>
      </c>
      <c r="N255" s="308">
        <v>0.32511607338920628</v>
      </c>
      <c r="O255" s="308">
        <v>0.2931018917750427</v>
      </c>
      <c r="P255" s="308">
        <v>0.26108771016087912</v>
      </c>
      <c r="Q255" s="308">
        <v>0.22907352854671553</v>
      </c>
      <c r="R255" s="308">
        <v>0.19705934693255198</v>
      </c>
      <c r="S255" s="308">
        <v>0.60712355574147336</v>
      </c>
      <c r="T255" s="308">
        <v>1.0171877645503948</v>
      </c>
      <c r="U255" s="308">
        <v>1.4272519733593163</v>
      </c>
      <c r="V255" s="308">
        <v>1.8373161821682378</v>
      </c>
      <c r="W255" s="308">
        <v>2.2473803909771588</v>
      </c>
      <c r="X255" s="308">
        <v>1.8559767911751281</v>
      </c>
      <c r="Y255" s="308">
        <v>1.4645731913730975</v>
      </c>
      <c r="Z255" s="308">
        <v>1.0731695915710668</v>
      </c>
      <c r="AA255" s="308">
        <v>0.68176599176903607</v>
      </c>
      <c r="AB255" s="308">
        <v>0.29036239196700481</v>
      </c>
      <c r="AC255" s="309"/>
      <c r="AD255" s="309"/>
      <c r="AE255" s="309"/>
      <c r="AF255" s="309"/>
      <c r="AG255" s="309"/>
      <c r="AH255" s="309"/>
      <c r="AI255" s="309"/>
      <c r="AJ255" s="309"/>
      <c r="AK255" s="309"/>
      <c r="AL255" s="309"/>
      <c r="AM255" s="309"/>
      <c r="AN255" s="309"/>
      <c r="AO255" s="309"/>
      <c r="AP255" s="163"/>
    </row>
    <row r="256" spans="2:42" x14ac:dyDescent="0.3">
      <c r="B256" s="6"/>
      <c r="C256" s="6"/>
      <c r="D256" s="6">
        <f t="shared" si="17"/>
        <v>6</v>
      </c>
      <c r="E256" s="642" t="str">
        <f t="shared" si="19"/>
        <v>Avg Transmission Capacity</v>
      </c>
      <c r="F256" s="303"/>
      <c r="G256" s="303"/>
      <c r="H256" s="313"/>
      <c r="I256" s="308">
        <v>0.66184238348438706</v>
      </c>
      <c r="J256" s="308">
        <v>0.47861500195445489</v>
      </c>
      <c r="K256" s="308">
        <v>0.91300352219958758</v>
      </c>
      <c r="L256" s="308">
        <v>0.74823312816475174</v>
      </c>
      <c r="M256" s="308">
        <v>0.35713025500336987</v>
      </c>
      <c r="N256" s="308">
        <v>0.32511607338920628</v>
      </c>
      <c r="O256" s="308">
        <v>0.2931018917750427</v>
      </c>
      <c r="P256" s="308">
        <v>0.26108771016087912</v>
      </c>
      <c r="Q256" s="308">
        <v>0.22907352854671553</v>
      </c>
      <c r="R256" s="308">
        <v>0.19705934693255198</v>
      </c>
      <c r="S256" s="308">
        <v>0.60712355574147336</v>
      </c>
      <c r="T256" s="308">
        <v>1.0171877645503948</v>
      </c>
      <c r="U256" s="308">
        <v>1.4272519733593163</v>
      </c>
      <c r="V256" s="308">
        <v>1.8373161821682378</v>
      </c>
      <c r="W256" s="308">
        <v>2.2473803909771588</v>
      </c>
      <c r="X256" s="308">
        <v>2.7531957201479549</v>
      </c>
      <c r="Y256" s="308">
        <v>3.259011049318751</v>
      </c>
      <c r="Z256" s="308">
        <v>3.764826378489547</v>
      </c>
      <c r="AA256" s="308">
        <v>4.2706417076603431</v>
      </c>
      <c r="AB256" s="308">
        <v>4.7764570368311396</v>
      </c>
      <c r="AC256" s="309"/>
      <c r="AD256" s="309"/>
      <c r="AE256" s="309"/>
      <c r="AF256" s="309"/>
      <c r="AG256" s="309"/>
      <c r="AH256" s="309"/>
      <c r="AI256" s="309"/>
      <c r="AJ256" s="309"/>
      <c r="AK256" s="309"/>
      <c r="AL256" s="309"/>
      <c r="AM256" s="309"/>
      <c r="AN256" s="309"/>
      <c r="AO256" s="309"/>
      <c r="AP256" s="163"/>
    </row>
    <row r="257" spans="2:42" x14ac:dyDescent="0.3">
      <c r="B257" s="6"/>
      <c r="C257" s="6"/>
      <c r="D257" s="6">
        <f t="shared" si="17"/>
        <v>6</v>
      </c>
      <c r="E257" s="642" t="str">
        <f t="shared" si="19"/>
        <v>Avg Distribution Capacity</v>
      </c>
      <c r="F257" s="303"/>
      <c r="G257" s="303"/>
      <c r="H257" s="313"/>
      <c r="I257" s="308">
        <v>3.9371720849719809</v>
      </c>
      <c r="J257" s="308">
        <v>2.3874537307362749</v>
      </c>
      <c r="K257" s="308">
        <v>2.3420918546290173</v>
      </c>
      <c r="L257" s="618">
        <v>2.1131111250064158</v>
      </c>
      <c r="M257" s="618">
        <v>2.4263974411681004</v>
      </c>
      <c r="N257" s="618">
        <v>2.0226247890317284</v>
      </c>
      <c r="O257" s="618">
        <v>1.6188521368953561</v>
      </c>
      <c r="P257" s="618">
        <v>1.2150794847589839</v>
      </c>
      <c r="Q257" s="618">
        <v>0.81130683262261161</v>
      </c>
      <c r="R257" s="618">
        <v>0.40753418048623941</v>
      </c>
      <c r="S257" s="618">
        <v>1.1870243498665303</v>
      </c>
      <c r="T257" s="618">
        <v>1.9665145192468212</v>
      </c>
      <c r="U257" s="618">
        <v>2.7460046886271119</v>
      </c>
      <c r="V257" s="618">
        <v>3.525494858007403</v>
      </c>
      <c r="W257" s="618">
        <v>4.3049850273876942</v>
      </c>
      <c r="X257" s="618">
        <v>4.3992794292763833</v>
      </c>
      <c r="Y257" s="618">
        <v>4.4935738311650724</v>
      </c>
      <c r="Z257" s="618">
        <v>4.5878682330537615</v>
      </c>
      <c r="AA257" s="618">
        <v>4.6821626349424506</v>
      </c>
      <c r="AB257" s="308">
        <v>4.7764570368311396</v>
      </c>
      <c r="AC257" s="309"/>
      <c r="AD257" s="309"/>
      <c r="AE257" s="309"/>
      <c r="AF257" s="309"/>
      <c r="AG257" s="309"/>
      <c r="AH257" s="309"/>
      <c r="AI257" s="309"/>
      <c r="AJ257" s="309"/>
      <c r="AK257" s="309"/>
      <c r="AL257" s="309"/>
      <c r="AM257" s="309"/>
      <c r="AN257" s="309"/>
      <c r="AO257" s="309"/>
      <c r="AP257" s="163"/>
    </row>
    <row r="258" spans="2:42" x14ac:dyDescent="0.3">
      <c r="B258" s="6"/>
      <c r="C258" s="6"/>
      <c r="D258" s="6">
        <f t="shared" si="17"/>
        <v>6</v>
      </c>
      <c r="E258" s="642" t="str">
        <f t="shared" si="19"/>
        <v>GHG Impacts</v>
      </c>
      <c r="F258" s="303"/>
      <c r="G258" s="303"/>
      <c r="H258" s="313"/>
      <c r="I258" s="308">
        <v>1699.7314785962824</v>
      </c>
      <c r="J258" s="308">
        <v>1534.3553400360786</v>
      </c>
      <c r="K258" s="308">
        <v>1118.573341949301</v>
      </c>
      <c r="L258" s="618">
        <v>1028.2768242200782</v>
      </c>
      <c r="M258" s="618">
        <v>962.41077580026445</v>
      </c>
      <c r="N258" s="618">
        <v>900.48259584959715</v>
      </c>
      <c r="O258" s="618">
        <v>838.55441589892985</v>
      </c>
      <c r="P258" s="618">
        <v>776.62623594826255</v>
      </c>
      <c r="Q258" s="618">
        <v>714.69805599759525</v>
      </c>
      <c r="R258" s="618">
        <v>652.76987604692806</v>
      </c>
      <c r="S258" s="618">
        <v>645.05011775574724</v>
      </c>
      <c r="T258" s="618">
        <v>637.33035946456641</v>
      </c>
      <c r="U258" s="618">
        <v>629.61060117338559</v>
      </c>
      <c r="V258" s="618">
        <v>621.89084288220477</v>
      </c>
      <c r="W258" s="618">
        <v>614.17108459102406</v>
      </c>
      <c r="X258" s="618">
        <v>567.88910126573796</v>
      </c>
      <c r="Y258" s="618">
        <v>521.60711794045187</v>
      </c>
      <c r="Z258" s="618">
        <v>475.32513461516578</v>
      </c>
      <c r="AA258" s="618">
        <v>429.04315128987969</v>
      </c>
      <c r="AB258" s="308">
        <v>382.76116796459371</v>
      </c>
      <c r="AC258" s="309"/>
      <c r="AD258" s="309"/>
      <c r="AE258" s="309"/>
      <c r="AF258" s="309"/>
      <c r="AG258" s="309"/>
      <c r="AH258" s="309"/>
      <c r="AI258" s="309"/>
      <c r="AJ258" s="309"/>
      <c r="AK258" s="309"/>
      <c r="AL258" s="309"/>
      <c r="AM258" s="309"/>
      <c r="AN258" s="309"/>
      <c r="AO258" s="309"/>
      <c r="AP258" s="163"/>
    </row>
    <row r="259" spans="2:42" x14ac:dyDescent="0.3">
      <c r="B259" s="6"/>
      <c r="C259" s="6"/>
      <c r="D259" s="6">
        <f t="shared" si="17"/>
        <v>6</v>
      </c>
      <c r="E259" s="642" t="str">
        <f t="shared" si="19"/>
        <v>Market Price Effects - Wholesale Energy</v>
      </c>
      <c r="F259" s="303"/>
      <c r="G259" s="303"/>
      <c r="H259" s="313"/>
      <c r="I259" s="308">
        <v>1700.0351118335732</v>
      </c>
      <c r="J259" s="308">
        <v>1536.8697470882616</v>
      </c>
      <c r="K259" s="308">
        <v>1126.497954020791</v>
      </c>
      <c r="L259" s="618">
        <v>1043.9208741164259</v>
      </c>
      <c r="M259" s="618">
        <v>1011.5837044933338</v>
      </c>
      <c r="N259" s="618">
        <v>1033.6509603936709</v>
      </c>
      <c r="O259" s="618">
        <v>1055.718216294008</v>
      </c>
      <c r="P259" s="618">
        <v>1077.7854721943452</v>
      </c>
      <c r="Q259" s="618">
        <v>1099.8527280946823</v>
      </c>
      <c r="R259" s="618">
        <v>1121.9199839950195</v>
      </c>
      <c r="S259" s="618">
        <v>1222.109652973269</v>
      </c>
      <c r="T259" s="618">
        <v>1322.2993219515186</v>
      </c>
      <c r="U259" s="618">
        <v>1422.4889909297681</v>
      </c>
      <c r="V259" s="618">
        <v>1522.6786599080176</v>
      </c>
      <c r="W259" s="618">
        <v>1622.8683288862669</v>
      </c>
      <c r="X259" s="618">
        <v>1640.9580202449499</v>
      </c>
      <c r="Y259" s="618">
        <v>1659.0477116036329</v>
      </c>
      <c r="Z259" s="618">
        <v>1677.1374029623159</v>
      </c>
      <c r="AA259" s="618">
        <v>1695.227094320999</v>
      </c>
      <c r="AB259" s="308">
        <v>1713.3167856796824</v>
      </c>
      <c r="AC259" s="309"/>
      <c r="AD259" s="309"/>
      <c r="AE259" s="309"/>
      <c r="AF259" s="309"/>
      <c r="AG259" s="309"/>
      <c r="AH259" s="309"/>
      <c r="AI259" s="309"/>
      <c r="AJ259" s="309"/>
      <c r="AK259" s="309"/>
      <c r="AL259" s="309"/>
      <c r="AM259" s="309"/>
      <c r="AN259" s="309"/>
      <c r="AO259" s="309"/>
      <c r="AP259" s="163"/>
    </row>
    <row r="260" spans="2:42" x14ac:dyDescent="0.3">
      <c r="B260" s="6"/>
      <c r="C260" s="6"/>
      <c r="D260" s="6">
        <f t="shared" si="17"/>
        <v>6</v>
      </c>
      <c r="E260" s="643" t="str">
        <f t="shared" si="19"/>
        <v>Market Price Effects - Wholesale Capacity</v>
      </c>
      <c r="F260" s="303"/>
      <c r="H260" s="217"/>
      <c r="I260" s="308">
        <v>0</v>
      </c>
      <c r="J260" s="308">
        <v>0</v>
      </c>
      <c r="K260" s="308">
        <v>0</v>
      </c>
      <c r="L260" s="618">
        <v>0</v>
      </c>
      <c r="M260" s="618">
        <v>0</v>
      </c>
      <c r="N260" s="618">
        <v>0</v>
      </c>
      <c r="O260" s="618">
        <v>0</v>
      </c>
      <c r="P260" s="618">
        <v>0</v>
      </c>
      <c r="Q260" s="618">
        <v>0</v>
      </c>
      <c r="R260" s="618">
        <v>0</v>
      </c>
      <c r="S260" s="618">
        <v>0</v>
      </c>
      <c r="T260" s="618">
        <v>0</v>
      </c>
      <c r="U260" s="618">
        <v>0</v>
      </c>
      <c r="V260" s="618">
        <v>0</v>
      </c>
      <c r="W260" s="618">
        <v>0</v>
      </c>
      <c r="X260" s="618">
        <v>0</v>
      </c>
      <c r="Y260" s="618">
        <v>0</v>
      </c>
      <c r="Z260" s="618">
        <v>0</v>
      </c>
      <c r="AA260" s="618">
        <v>0</v>
      </c>
      <c r="AB260" s="308">
        <v>0</v>
      </c>
      <c r="AC260" s="309"/>
      <c r="AD260" s="309"/>
      <c r="AE260" s="309"/>
      <c r="AF260" s="309"/>
      <c r="AG260" s="309"/>
      <c r="AH260" s="309"/>
      <c r="AI260" s="309"/>
      <c r="AJ260" s="309"/>
      <c r="AK260" s="309"/>
      <c r="AL260" s="309"/>
      <c r="AM260" s="309"/>
      <c r="AN260" s="309"/>
      <c r="AO260" s="309"/>
      <c r="AP260" s="163"/>
    </row>
    <row r="261" spans="2:42" x14ac:dyDescent="0.3">
      <c r="B261" s="6"/>
      <c r="C261" s="6"/>
      <c r="D261" s="6">
        <f t="shared" si="17"/>
        <v>6</v>
      </c>
      <c r="E261" s="640" t="str">
        <f t="shared" si="19"/>
        <v>Disharge MWh</v>
      </c>
      <c r="H261" s="217"/>
      <c r="I261" s="505"/>
      <c r="J261" s="505"/>
      <c r="K261" s="505"/>
      <c r="L261" s="505"/>
      <c r="M261" s="505"/>
      <c r="N261" s="505"/>
      <c r="O261" s="505"/>
      <c r="P261" s="505"/>
      <c r="Q261" s="505"/>
      <c r="R261" s="505"/>
      <c r="S261" s="505"/>
      <c r="T261" s="505"/>
      <c r="U261" s="505"/>
      <c r="V261" s="505"/>
      <c r="W261" s="505"/>
      <c r="X261" s="505"/>
      <c r="Y261" s="505"/>
      <c r="Z261" s="505"/>
      <c r="AA261" s="505"/>
      <c r="AB261" s="505"/>
      <c r="AC261" s="15"/>
      <c r="AD261" s="15"/>
      <c r="AE261" s="15"/>
      <c r="AF261" s="15"/>
      <c r="AG261" s="15"/>
      <c r="AH261" s="15"/>
      <c r="AI261" s="15"/>
      <c r="AJ261" s="15"/>
      <c r="AK261" s="15"/>
      <c r="AL261" s="15"/>
      <c r="AM261" s="15"/>
      <c r="AN261" s="15"/>
      <c r="AO261" s="15"/>
      <c r="AP261" s="163"/>
    </row>
    <row r="262" spans="2:42" x14ac:dyDescent="0.3">
      <c r="B262" s="6"/>
      <c r="C262" s="6"/>
      <c r="D262" s="6">
        <f t="shared" si="17"/>
        <v>6</v>
      </c>
      <c r="E262" s="641" t="str">
        <f t="shared" si="19"/>
        <v>Total ESS DCharge MWh</v>
      </c>
      <c r="H262" s="217"/>
      <c r="I262" s="308">
        <v>1448.7099513930214</v>
      </c>
      <c r="J262" s="308">
        <v>1310.0117029422543</v>
      </c>
      <c r="K262" s="308">
        <v>961.17634195186633</v>
      </c>
      <c r="L262" s="618">
        <v>890.98193296812235</v>
      </c>
      <c r="M262" s="618">
        <v>863.4938150481247</v>
      </c>
      <c r="N262" s="618">
        <v>863.4938150481247</v>
      </c>
      <c r="O262" s="618">
        <v>863.4938150481247</v>
      </c>
      <c r="P262" s="618">
        <v>863.4938150481247</v>
      </c>
      <c r="Q262" s="618">
        <v>863.4938150481247</v>
      </c>
      <c r="R262" s="618">
        <v>957.2848517141814</v>
      </c>
      <c r="S262" s="618">
        <v>957.2848517141814</v>
      </c>
      <c r="T262" s="618">
        <v>957.2848517141814</v>
      </c>
      <c r="U262" s="618">
        <v>957.2848517141814</v>
      </c>
      <c r="V262" s="618">
        <v>957.2848517141814</v>
      </c>
      <c r="W262" s="618">
        <v>1383.114549758134</v>
      </c>
      <c r="X262" s="618">
        <v>1383.114549758134</v>
      </c>
      <c r="Y262" s="618">
        <v>1383.114549758134</v>
      </c>
      <c r="Z262" s="618">
        <v>1383.114549758134</v>
      </c>
      <c r="AA262" s="618">
        <v>1383.114549758134</v>
      </c>
      <c r="AB262" s="308">
        <v>1460.0000000000016</v>
      </c>
      <c r="AC262" s="309"/>
      <c r="AD262" s="309"/>
      <c r="AE262" s="309"/>
      <c r="AF262" s="309"/>
      <c r="AG262" s="309"/>
      <c r="AH262" s="309"/>
      <c r="AI262" s="309"/>
      <c r="AJ262" s="309"/>
      <c r="AK262" s="309"/>
      <c r="AL262" s="309"/>
      <c r="AM262" s="309"/>
      <c r="AN262" s="309"/>
      <c r="AO262" s="309"/>
      <c r="AP262" s="163"/>
    </row>
    <row r="263" spans="2:42" x14ac:dyDescent="0.3">
      <c r="B263" s="6"/>
      <c r="C263" s="6"/>
      <c r="D263" s="6">
        <f t="shared" ref="D263:D326" si="20">D223+1</f>
        <v>6</v>
      </c>
      <c r="E263" s="642" t="str">
        <f t="shared" si="19"/>
        <v>Avg Generation Capacity</v>
      </c>
      <c r="F263" s="303"/>
      <c r="H263" s="217"/>
      <c r="I263" s="308">
        <v>80.981617931648316</v>
      </c>
      <c r="J263" s="308">
        <v>81.941403232427902</v>
      </c>
      <c r="K263" s="308">
        <v>70.6487739958025</v>
      </c>
      <c r="L263" s="618">
        <v>70.338175121938235</v>
      </c>
      <c r="M263" s="618">
        <v>71.414876398084445</v>
      </c>
      <c r="N263" s="618">
        <v>72.475474519990783</v>
      </c>
      <c r="O263" s="618">
        <v>73.536072641897121</v>
      </c>
      <c r="P263" s="618">
        <v>74.596670763803459</v>
      </c>
      <c r="Q263" s="618">
        <v>75.657268885709797</v>
      </c>
      <c r="R263" s="618">
        <v>76.717867007616121</v>
      </c>
      <c r="S263" s="618">
        <v>76.511544826605615</v>
      </c>
      <c r="T263" s="618">
        <v>76.305222645595109</v>
      </c>
      <c r="U263" s="618">
        <v>76.098900464584602</v>
      </c>
      <c r="V263" s="618">
        <v>75.892578283574096</v>
      </c>
      <c r="W263" s="618">
        <v>75.68625610256359</v>
      </c>
      <c r="X263" s="618">
        <v>75.514549472665607</v>
      </c>
      <c r="Y263" s="618">
        <v>75.342842842767624</v>
      </c>
      <c r="Z263" s="618">
        <v>75.171136212869641</v>
      </c>
      <c r="AA263" s="618">
        <v>74.999429582971658</v>
      </c>
      <c r="AB263" s="308">
        <v>74.827722953073646</v>
      </c>
      <c r="AC263" s="309"/>
      <c r="AD263" s="309"/>
      <c r="AE263" s="309"/>
      <c r="AF263" s="309"/>
      <c r="AG263" s="309"/>
      <c r="AH263" s="309"/>
      <c r="AI263" s="309"/>
      <c r="AJ263" s="309"/>
      <c r="AK263" s="309"/>
      <c r="AL263" s="309"/>
      <c r="AM263" s="309"/>
      <c r="AN263" s="309"/>
      <c r="AO263" s="309"/>
      <c r="AP263" s="163"/>
    </row>
    <row r="264" spans="2:42" x14ac:dyDescent="0.3">
      <c r="B264" s="6"/>
      <c r="C264" s="6"/>
      <c r="D264" s="6">
        <f t="shared" si="20"/>
        <v>6</v>
      </c>
      <c r="E264" s="642" t="str">
        <f t="shared" si="19"/>
        <v>Avg Transmission Capacity</v>
      </c>
      <c r="F264" s="303"/>
      <c r="H264" s="217"/>
      <c r="I264" s="308">
        <v>80.981617931648316</v>
      </c>
      <c r="J264" s="308">
        <v>81.941403232427902</v>
      </c>
      <c r="K264" s="308">
        <v>70.6487739958025</v>
      </c>
      <c r="L264" s="618">
        <v>70.338175121938235</v>
      </c>
      <c r="M264" s="618">
        <v>71.414876398084445</v>
      </c>
      <c r="N264" s="618">
        <v>72.475474519990783</v>
      </c>
      <c r="O264" s="618">
        <v>73.536072641897121</v>
      </c>
      <c r="P264" s="618">
        <v>74.596670763803459</v>
      </c>
      <c r="Q264" s="618">
        <v>75.657268885709797</v>
      </c>
      <c r="R264" s="618">
        <v>76.717867007616121</v>
      </c>
      <c r="S264" s="618">
        <v>76.511544826605615</v>
      </c>
      <c r="T264" s="618">
        <v>76.305222645595109</v>
      </c>
      <c r="U264" s="618">
        <v>76.098900464584602</v>
      </c>
      <c r="V264" s="618">
        <v>75.892578283574096</v>
      </c>
      <c r="W264" s="618">
        <v>75.68625610256359</v>
      </c>
      <c r="X264" s="618">
        <v>75.514549472665607</v>
      </c>
      <c r="Y264" s="618">
        <v>75.342842842767624</v>
      </c>
      <c r="Z264" s="618">
        <v>75.171136212869641</v>
      </c>
      <c r="AA264" s="618">
        <v>74.999429582971658</v>
      </c>
      <c r="AB264" s="308">
        <v>74.827722953073646</v>
      </c>
      <c r="AC264" s="309"/>
      <c r="AD264" s="309"/>
      <c r="AE264" s="309"/>
      <c r="AF264" s="309"/>
      <c r="AG264" s="309"/>
      <c r="AH264" s="309"/>
      <c r="AI264" s="309"/>
      <c r="AJ264" s="309"/>
      <c r="AK264" s="309"/>
      <c r="AL264" s="309"/>
      <c r="AM264" s="309"/>
      <c r="AN264" s="309"/>
      <c r="AO264" s="309"/>
      <c r="AP264" s="163"/>
    </row>
    <row r="265" spans="2:42" x14ac:dyDescent="0.3">
      <c r="B265" s="6"/>
      <c r="C265" s="6"/>
      <c r="D265" s="6">
        <f t="shared" si="20"/>
        <v>6</v>
      </c>
      <c r="E265" s="642" t="str">
        <f t="shared" si="19"/>
        <v>Avg Distribution Capacity</v>
      </c>
      <c r="F265" s="303"/>
      <c r="H265" s="217"/>
      <c r="I265" s="308">
        <v>52.190158224983001</v>
      </c>
      <c r="J265" s="308">
        <v>56.477370848756962</v>
      </c>
      <c r="K265" s="308">
        <v>55.820906082670476</v>
      </c>
      <c r="L265" s="618">
        <v>56.52101041579099</v>
      </c>
      <c r="M265" s="618">
        <v>66.574252279882018</v>
      </c>
      <c r="N265" s="618">
        <v>66.987262350741048</v>
      </c>
      <c r="O265" s="618">
        <v>67.400272421600079</v>
      </c>
      <c r="P265" s="618">
        <v>67.813282492459109</v>
      </c>
      <c r="Q265" s="618">
        <v>68.22629256331814</v>
      </c>
      <c r="R265" s="618">
        <v>68.639302634177156</v>
      </c>
      <c r="S265" s="618">
        <v>68.727856920449113</v>
      </c>
      <c r="T265" s="618">
        <v>68.816411206721071</v>
      </c>
      <c r="U265" s="618">
        <v>68.904965492993028</v>
      </c>
      <c r="V265" s="618">
        <v>68.993519779264986</v>
      </c>
      <c r="W265" s="618">
        <v>69.082074065536972</v>
      </c>
      <c r="X265" s="618">
        <v>69.319496985447145</v>
      </c>
      <c r="Y265" s="618">
        <v>69.556919905357319</v>
      </c>
      <c r="Z265" s="618">
        <v>69.794342825267492</v>
      </c>
      <c r="AA265" s="618">
        <v>70.031765745177665</v>
      </c>
      <c r="AB265" s="308">
        <v>70.269188665087867</v>
      </c>
      <c r="AC265" s="309"/>
      <c r="AD265" s="309"/>
      <c r="AE265" s="309"/>
      <c r="AF265" s="309"/>
      <c r="AG265" s="309"/>
      <c r="AH265" s="309"/>
      <c r="AI265" s="309"/>
      <c r="AJ265" s="309"/>
      <c r="AK265" s="309"/>
      <c r="AL265" s="309"/>
      <c r="AM265" s="309"/>
      <c r="AN265" s="309"/>
      <c r="AO265" s="309"/>
      <c r="AP265" s="163"/>
    </row>
    <row r="266" spans="2:42" x14ac:dyDescent="0.3">
      <c r="B266" s="6"/>
      <c r="C266" s="6"/>
      <c r="D266" s="6">
        <f t="shared" si="20"/>
        <v>6</v>
      </c>
      <c r="E266" s="642" t="str">
        <f t="shared" si="19"/>
        <v>GHG Impacts</v>
      </c>
      <c r="F266" s="303"/>
      <c r="H266" s="217"/>
      <c r="I266" s="308">
        <v>1448.6378578595704</v>
      </c>
      <c r="J266" s="308">
        <v>1309.3464716953629</v>
      </c>
      <c r="K266" s="308">
        <v>959.12952728038977</v>
      </c>
      <c r="L266" s="618">
        <v>886.81768677684249</v>
      </c>
      <c r="M266" s="618">
        <v>857.28685780683202</v>
      </c>
      <c r="N266" s="618">
        <v>874.01944267520173</v>
      </c>
      <c r="O266" s="618">
        <v>890.75202754357144</v>
      </c>
      <c r="P266" s="618">
        <v>907.48461241194116</v>
      </c>
      <c r="Q266" s="618">
        <v>924.21719728031087</v>
      </c>
      <c r="R266" s="618">
        <v>940.94978214868036</v>
      </c>
      <c r="S266" s="618">
        <v>1023.0946101690299</v>
      </c>
      <c r="T266" s="618">
        <v>1105.2394381893796</v>
      </c>
      <c r="U266" s="618">
        <v>1187.3842662097293</v>
      </c>
      <c r="V266" s="618">
        <v>1269.529094230079</v>
      </c>
      <c r="W266" s="618">
        <v>1351.6739222504284</v>
      </c>
      <c r="X266" s="618">
        <v>1362.0012830217913</v>
      </c>
      <c r="Y266" s="618">
        <v>1372.3286437931542</v>
      </c>
      <c r="Z266" s="618">
        <v>1382.6560045645172</v>
      </c>
      <c r="AA266" s="618">
        <v>1392.9833653358801</v>
      </c>
      <c r="AB266" s="308">
        <v>1403.3107261072428</v>
      </c>
      <c r="AC266" s="309"/>
      <c r="AD266" s="309"/>
      <c r="AE266" s="309"/>
      <c r="AF266" s="309"/>
      <c r="AG266" s="309"/>
      <c r="AH266" s="309"/>
      <c r="AI266" s="309"/>
      <c r="AJ266" s="309"/>
      <c r="AK266" s="309"/>
      <c r="AL266" s="309"/>
      <c r="AM266" s="309"/>
      <c r="AN266" s="309"/>
      <c r="AO266" s="309"/>
      <c r="AP266" s="163"/>
    </row>
    <row r="267" spans="2:42" x14ac:dyDescent="0.3">
      <c r="B267" s="6"/>
      <c r="C267" s="6"/>
      <c r="D267" s="6">
        <f t="shared" si="20"/>
        <v>6</v>
      </c>
      <c r="E267" s="642" t="str">
        <f t="shared" si="19"/>
        <v>Market Price Effects - Wholesale Energy</v>
      </c>
      <c r="F267" s="303"/>
      <c r="H267" s="217"/>
      <c r="I267" s="308">
        <v>1448.7099513930059</v>
      </c>
      <c r="J267" s="308">
        <v>1310.0117029422534</v>
      </c>
      <c r="K267" s="308">
        <v>961.17634195186361</v>
      </c>
      <c r="L267" s="618">
        <v>890.98193296813179</v>
      </c>
      <c r="M267" s="618">
        <v>863.49381504811811</v>
      </c>
      <c r="N267" s="618">
        <v>882.25202238133181</v>
      </c>
      <c r="O267" s="618">
        <v>901.01022971454552</v>
      </c>
      <c r="P267" s="618">
        <v>919.76843704775922</v>
      </c>
      <c r="Q267" s="618">
        <v>938.52664438097293</v>
      </c>
      <c r="R267" s="618">
        <v>957.2848517141864</v>
      </c>
      <c r="S267" s="618">
        <v>1042.4507913229756</v>
      </c>
      <c r="T267" s="618">
        <v>1127.6167309317648</v>
      </c>
      <c r="U267" s="618">
        <v>1212.7826705405539</v>
      </c>
      <c r="V267" s="618">
        <v>1297.948610149343</v>
      </c>
      <c r="W267" s="618">
        <v>1383.1145497581324</v>
      </c>
      <c r="X267" s="618">
        <v>1398.4916398065063</v>
      </c>
      <c r="Y267" s="618">
        <v>1413.8687298548803</v>
      </c>
      <c r="Z267" s="618">
        <v>1429.2458199032542</v>
      </c>
      <c r="AA267" s="618">
        <v>1444.6229099516281</v>
      </c>
      <c r="AB267" s="308">
        <v>1460.0000000000018</v>
      </c>
      <c r="AC267" s="309"/>
      <c r="AD267" s="309"/>
      <c r="AE267" s="309"/>
      <c r="AF267" s="309"/>
      <c r="AG267" s="309"/>
      <c r="AH267" s="309"/>
      <c r="AI267" s="309"/>
      <c r="AJ267" s="309"/>
      <c r="AK267" s="309"/>
      <c r="AL267" s="309"/>
      <c r="AM267" s="309"/>
      <c r="AN267" s="309"/>
      <c r="AO267" s="309"/>
      <c r="AP267" s="163"/>
    </row>
    <row r="268" spans="2:42" x14ac:dyDescent="0.3">
      <c r="B268" s="6"/>
      <c r="C268" s="6"/>
      <c r="D268" s="6">
        <f t="shared" si="20"/>
        <v>6</v>
      </c>
      <c r="E268" s="642" t="str">
        <f t="shared" si="19"/>
        <v>Market Price Effects - Wholesale Capacity</v>
      </c>
      <c r="F268" s="303"/>
      <c r="H268" s="217"/>
      <c r="I268" s="308">
        <v>0</v>
      </c>
      <c r="J268" s="308">
        <v>0</v>
      </c>
      <c r="K268" s="308">
        <v>0</v>
      </c>
      <c r="L268" s="618">
        <v>0</v>
      </c>
      <c r="M268" s="618">
        <v>0</v>
      </c>
      <c r="N268" s="618">
        <v>0</v>
      </c>
      <c r="O268" s="618">
        <v>0</v>
      </c>
      <c r="P268" s="618">
        <v>0</v>
      </c>
      <c r="Q268" s="618">
        <v>0</v>
      </c>
      <c r="R268" s="618">
        <v>0</v>
      </c>
      <c r="S268" s="618">
        <v>0</v>
      </c>
      <c r="T268" s="618">
        <v>0</v>
      </c>
      <c r="U268" s="618">
        <v>0</v>
      </c>
      <c r="V268" s="618">
        <v>0</v>
      </c>
      <c r="W268" s="618">
        <v>0</v>
      </c>
      <c r="X268" s="618">
        <v>0</v>
      </c>
      <c r="Y268" s="618">
        <v>0</v>
      </c>
      <c r="Z268" s="618">
        <v>0</v>
      </c>
      <c r="AA268" s="618">
        <v>0</v>
      </c>
      <c r="AB268" s="308">
        <v>0</v>
      </c>
      <c r="AC268" s="309"/>
      <c r="AD268" s="309"/>
      <c r="AE268" s="309"/>
      <c r="AF268" s="309"/>
      <c r="AG268" s="309"/>
      <c r="AH268" s="309"/>
      <c r="AI268" s="309"/>
      <c r="AJ268" s="309"/>
      <c r="AK268" s="309"/>
      <c r="AL268" s="309"/>
      <c r="AM268" s="309"/>
      <c r="AN268" s="309"/>
      <c r="AO268" s="309"/>
      <c r="AP268" s="163"/>
    </row>
    <row r="269" spans="2:42" x14ac:dyDescent="0.3">
      <c r="B269" s="6"/>
      <c r="C269" s="6"/>
      <c r="D269" s="6">
        <f t="shared" si="20"/>
        <v>6</v>
      </c>
      <c r="E269" s="544"/>
      <c r="F269" s="545"/>
      <c r="G269" s="545"/>
      <c r="H269" s="545"/>
      <c r="I269" s="545"/>
      <c r="J269" s="545"/>
      <c r="K269" s="545"/>
      <c r="L269" s="545"/>
      <c r="M269" s="545"/>
      <c r="N269" s="545"/>
      <c r="O269" s="545"/>
      <c r="P269" s="545"/>
      <c r="Q269" s="545"/>
      <c r="R269" s="545"/>
      <c r="S269" s="545"/>
      <c r="T269" s="545"/>
      <c r="U269" s="545"/>
      <c r="V269" s="545"/>
      <c r="W269" s="545"/>
      <c r="X269" s="545"/>
      <c r="Y269" s="545"/>
      <c r="Z269" s="545"/>
      <c r="AA269" s="545"/>
      <c r="AB269" s="545"/>
      <c r="AC269" s="545"/>
      <c r="AD269" s="545"/>
      <c r="AE269" s="545"/>
      <c r="AF269" s="545"/>
      <c r="AG269" s="545"/>
      <c r="AH269" s="545"/>
      <c r="AI269" s="545"/>
      <c r="AJ269" s="545"/>
      <c r="AK269" s="545"/>
      <c r="AL269" s="545"/>
      <c r="AM269" s="545"/>
      <c r="AN269" s="545"/>
      <c r="AO269" s="545"/>
      <c r="AP269" s="543"/>
    </row>
    <row r="270" spans="2:42" ht="21" x14ac:dyDescent="0.4">
      <c r="B270" s="6"/>
      <c r="C270" s="6"/>
      <c r="D270" s="6">
        <f t="shared" si="20"/>
        <v>7</v>
      </c>
      <c r="E270" s="632" t="str">
        <f>_xlfn.CONCAT(revenueSimulationID," ",$D270,"|",INDEX(StdConfigDesc,$D270,$E$29))</f>
        <v>Case 7|C&amp;I - Large (2 MW / 4 MWh)</v>
      </c>
      <c r="F270" s="633"/>
      <c r="G270" s="633"/>
      <c r="H270" s="633"/>
      <c r="I270" s="633"/>
      <c r="J270" s="633"/>
      <c r="K270" s="633"/>
      <c r="L270" s="633"/>
      <c r="M270" s="633"/>
      <c r="N270" s="633"/>
      <c r="O270" s="633"/>
      <c r="P270" s="633"/>
      <c r="Q270" s="633"/>
      <c r="R270" s="633"/>
      <c r="S270" s="633"/>
      <c r="T270" s="633"/>
      <c r="U270" s="633"/>
      <c r="V270" s="633"/>
      <c r="W270" s="633"/>
      <c r="X270" s="633"/>
      <c r="Y270" s="633"/>
      <c r="Z270" s="633"/>
      <c r="AA270" s="633"/>
      <c r="AB270" s="633"/>
      <c r="AC270" s="633"/>
      <c r="AD270" s="633"/>
      <c r="AE270" s="633"/>
      <c r="AF270" s="633"/>
      <c r="AG270" s="633"/>
      <c r="AH270" s="633"/>
      <c r="AI270" s="633"/>
      <c r="AJ270" s="633"/>
      <c r="AK270" s="633"/>
      <c r="AL270" s="633"/>
      <c r="AM270" s="633"/>
      <c r="AN270" s="633"/>
      <c r="AO270" s="633"/>
      <c r="AP270" s="634"/>
    </row>
    <row r="271" spans="2:42" ht="25.8" x14ac:dyDescent="0.5">
      <c r="B271" s="6"/>
      <c r="C271" s="6"/>
      <c r="D271" s="6">
        <f t="shared" si="20"/>
        <v>7</v>
      </c>
      <c r="E271" s="635"/>
      <c r="F271" s="2">
        <v>2025</v>
      </c>
      <c r="G271" s="2">
        <f>F271+1</f>
        <v>2026</v>
      </c>
      <c r="H271" s="2">
        <f t="shared" ref="H271:AO271" si="21">G271+1</f>
        <v>2027</v>
      </c>
      <c r="I271" s="2">
        <f t="shared" si="21"/>
        <v>2028</v>
      </c>
      <c r="J271" s="2">
        <f t="shared" si="21"/>
        <v>2029</v>
      </c>
      <c r="K271" s="2">
        <f t="shared" si="21"/>
        <v>2030</v>
      </c>
      <c r="L271" s="2">
        <f t="shared" si="21"/>
        <v>2031</v>
      </c>
      <c r="M271" s="2">
        <f t="shared" si="21"/>
        <v>2032</v>
      </c>
      <c r="N271" s="2">
        <f t="shared" si="21"/>
        <v>2033</v>
      </c>
      <c r="O271" s="2">
        <f t="shared" si="21"/>
        <v>2034</v>
      </c>
      <c r="P271" s="2">
        <f t="shared" si="21"/>
        <v>2035</v>
      </c>
      <c r="Q271" s="2">
        <f t="shared" si="21"/>
        <v>2036</v>
      </c>
      <c r="R271" s="2">
        <f t="shared" si="21"/>
        <v>2037</v>
      </c>
      <c r="S271" s="2">
        <f t="shared" si="21"/>
        <v>2038</v>
      </c>
      <c r="T271" s="2">
        <f t="shared" si="21"/>
        <v>2039</v>
      </c>
      <c r="U271" s="2">
        <f t="shared" si="21"/>
        <v>2040</v>
      </c>
      <c r="V271" s="2">
        <f t="shared" si="21"/>
        <v>2041</v>
      </c>
      <c r="W271" s="2">
        <f t="shared" si="21"/>
        <v>2042</v>
      </c>
      <c r="X271" s="2">
        <f t="shared" si="21"/>
        <v>2043</v>
      </c>
      <c r="Y271" s="2">
        <f t="shared" si="21"/>
        <v>2044</v>
      </c>
      <c r="Z271" s="2">
        <f t="shared" si="21"/>
        <v>2045</v>
      </c>
      <c r="AA271" s="2">
        <f t="shared" si="21"/>
        <v>2046</v>
      </c>
      <c r="AB271" s="2">
        <f t="shared" si="21"/>
        <v>2047</v>
      </c>
      <c r="AC271" s="2">
        <f t="shared" si="21"/>
        <v>2048</v>
      </c>
      <c r="AD271" s="2">
        <f t="shared" si="21"/>
        <v>2049</v>
      </c>
      <c r="AE271" s="2">
        <f t="shared" si="21"/>
        <v>2050</v>
      </c>
      <c r="AF271" s="2">
        <f t="shared" si="21"/>
        <v>2051</v>
      </c>
      <c r="AG271" s="2">
        <f t="shared" si="21"/>
        <v>2052</v>
      </c>
      <c r="AH271" s="2">
        <f t="shared" si="21"/>
        <v>2053</v>
      </c>
      <c r="AI271" s="2">
        <f t="shared" si="21"/>
        <v>2054</v>
      </c>
      <c r="AJ271" s="2">
        <f t="shared" si="21"/>
        <v>2055</v>
      </c>
      <c r="AK271" s="2">
        <f t="shared" si="21"/>
        <v>2056</v>
      </c>
      <c r="AL271" s="2">
        <f t="shared" si="21"/>
        <v>2057</v>
      </c>
      <c r="AM271" s="2">
        <f t="shared" si="21"/>
        <v>2058</v>
      </c>
      <c r="AN271" s="2">
        <f t="shared" si="21"/>
        <v>2059</v>
      </c>
      <c r="AO271" s="2">
        <f t="shared" si="21"/>
        <v>2060</v>
      </c>
      <c r="AP271" s="163"/>
    </row>
    <row r="272" spans="2:42" x14ac:dyDescent="0.3">
      <c r="B272" s="6"/>
      <c r="C272" s="6"/>
      <c r="D272" s="6">
        <f t="shared" si="20"/>
        <v>7</v>
      </c>
      <c r="E272" s="636" t="str">
        <f>E232</f>
        <v>Capacity - PJM Market</v>
      </c>
      <c r="F272" s="302"/>
      <c r="G272" s="302"/>
      <c r="H272" s="302"/>
      <c r="I272" s="302">
        <v>0</v>
      </c>
      <c r="J272" s="302">
        <v>0</v>
      </c>
      <c r="K272" s="302">
        <v>0</v>
      </c>
      <c r="L272" s="302">
        <v>0</v>
      </c>
      <c r="M272" s="302">
        <v>0</v>
      </c>
      <c r="N272" s="302">
        <v>0</v>
      </c>
      <c r="O272" s="302">
        <v>0</v>
      </c>
      <c r="P272" s="302">
        <v>0</v>
      </c>
      <c r="Q272" s="302">
        <v>0</v>
      </c>
      <c r="R272" s="302">
        <v>0</v>
      </c>
      <c r="S272" s="302">
        <v>0</v>
      </c>
      <c r="T272" s="302">
        <v>0</v>
      </c>
      <c r="U272" s="302">
        <v>0</v>
      </c>
      <c r="V272" s="302">
        <v>0</v>
      </c>
      <c r="W272" s="302">
        <v>0</v>
      </c>
      <c r="X272" s="302">
        <v>0</v>
      </c>
      <c r="Y272" s="302">
        <v>0</v>
      </c>
      <c r="Z272" s="302">
        <v>0</v>
      </c>
      <c r="AA272" s="302">
        <v>0</v>
      </c>
      <c r="AB272" s="302">
        <v>0</v>
      </c>
      <c r="AC272" s="302">
        <v>0</v>
      </c>
      <c r="AD272" s="302">
        <v>0</v>
      </c>
      <c r="AE272" s="302">
        <v>0</v>
      </c>
      <c r="AF272" s="302">
        <v>0</v>
      </c>
      <c r="AG272" s="302">
        <v>0</v>
      </c>
      <c r="AH272" s="302">
        <v>0</v>
      </c>
      <c r="AI272" s="302">
        <v>0</v>
      </c>
      <c r="AJ272" s="302">
        <v>0</v>
      </c>
      <c r="AK272" s="302">
        <v>0</v>
      </c>
      <c r="AL272" s="302">
        <v>0</v>
      </c>
      <c r="AM272" s="302">
        <v>0</v>
      </c>
      <c r="AN272" s="302">
        <v>0</v>
      </c>
      <c r="AO272" s="302">
        <v>0</v>
      </c>
      <c r="AP272" s="163"/>
    </row>
    <row r="273" spans="2:42" x14ac:dyDescent="0.3">
      <c r="B273" s="6"/>
      <c r="C273" s="6"/>
      <c r="D273" s="6">
        <f t="shared" si="20"/>
        <v>7</v>
      </c>
      <c r="E273" s="636" t="str">
        <f t="shared" ref="E273:E308" si="22">E233</f>
        <v>Energy Arbitrage - PJM Market</v>
      </c>
      <c r="F273" s="303"/>
      <c r="G273" s="304"/>
      <c r="H273" s="304"/>
      <c r="I273" s="304">
        <v>0</v>
      </c>
      <c r="J273" s="304">
        <v>0</v>
      </c>
      <c r="K273" s="304">
        <v>0</v>
      </c>
      <c r="L273" s="304">
        <v>0</v>
      </c>
      <c r="M273" s="304">
        <v>0</v>
      </c>
      <c r="N273" s="304">
        <v>0</v>
      </c>
      <c r="O273" s="304">
        <v>0</v>
      </c>
      <c r="P273" s="304">
        <v>0</v>
      </c>
      <c r="Q273" s="304">
        <v>0</v>
      </c>
      <c r="R273" s="304">
        <v>0</v>
      </c>
      <c r="S273" s="304">
        <v>0</v>
      </c>
      <c r="T273" s="304">
        <v>0</v>
      </c>
      <c r="U273" s="304">
        <v>0</v>
      </c>
      <c r="V273" s="304">
        <v>0</v>
      </c>
      <c r="W273" s="304">
        <v>0</v>
      </c>
      <c r="X273" s="304">
        <v>0</v>
      </c>
      <c r="Y273" s="304">
        <v>0</v>
      </c>
      <c r="Z273" s="304">
        <v>0</v>
      </c>
      <c r="AA273" s="304">
        <v>0</v>
      </c>
      <c r="AB273" s="304">
        <v>0</v>
      </c>
      <c r="AC273" s="304"/>
      <c r="AD273" s="304"/>
      <c r="AE273" s="304"/>
      <c r="AF273" s="304"/>
      <c r="AG273" s="304"/>
      <c r="AH273" s="304"/>
      <c r="AI273" s="304"/>
      <c r="AJ273" s="304"/>
      <c r="AK273" s="304"/>
      <c r="AL273" s="304"/>
      <c r="AM273" s="304"/>
      <c r="AN273" s="304"/>
      <c r="AO273" s="304"/>
      <c r="AP273" s="163"/>
    </row>
    <row r="274" spans="2:42" x14ac:dyDescent="0.3">
      <c r="B274" s="6"/>
      <c r="C274" s="6"/>
      <c r="D274" s="6">
        <f t="shared" si="20"/>
        <v>7</v>
      </c>
      <c r="E274" s="636" t="str">
        <f t="shared" si="22"/>
        <v>Spin- PJM Market</v>
      </c>
      <c r="F274" s="303"/>
      <c r="G274" s="304"/>
      <c r="H274" s="304"/>
      <c r="I274" s="304">
        <v>24606.192588978243</v>
      </c>
      <c r="J274" s="304">
        <v>23221.375373636583</v>
      </c>
      <c r="K274" s="304">
        <v>23269.74280163119</v>
      </c>
      <c r="L274" s="304">
        <v>21914.984618357477</v>
      </c>
      <c r="M274" s="304">
        <v>20992.584212265578</v>
      </c>
      <c r="N274" s="304">
        <v>21461.762387937648</v>
      </c>
      <c r="O274" s="304">
        <v>21930.940563609722</v>
      </c>
      <c r="P274" s="304">
        <v>22400.118739281792</v>
      </c>
      <c r="Q274" s="304">
        <v>22869.296914953866</v>
      </c>
      <c r="R274" s="304">
        <v>23338.475090625936</v>
      </c>
      <c r="S274" s="304">
        <v>24565.23260630701</v>
      </c>
      <c r="T274" s="304">
        <v>25791.990121988085</v>
      </c>
      <c r="U274" s="304">
        <v>27018.747637669163</v>
      </c>
      <c r="V274" s="304">
        <v>28245.505153350237</v>
      </c>
      <c r="W274" s="304">
        <v>29472.262669031312</v>
      </c>
      <c r="X274" s="304">
        <v>30801.607664792908</v>
      </c>
      <c r="Y274" s="304">
        <v>32130.952660554503</v>
      </c>
      <c r="Z274" s="304">
        <v>33460.297656316099</v>
      </c>
      <c r="AA274" s="304">
        <v>34789.642652077695</v>
      </c>
      <c r="AB274" s="304">
        <v>36118.987647839291</v>
      </c>
      <c r="AC274" s="304"/>
      <c r="AD274" s="304"/>
      <c r="AE274" s="304"/>
      <c r="AF274" s="304"/>
      <c r="AG274" s="304"/>
      <c r="AH274" s="304"/>
      <c r="AI274" s="304"/>
      <c r="AJ274" s="304"/>
      <c r="AK274" s="304"/>
      <c r="AL274" s="304"/>
      <c r="AM274" s="304"/>
      <c r="AN274" s="304"/>
      <c r="AO274" s="304"/>
      <c r="AP274" s="163"/>
    </row>
    <row r="275" spans="2:42" x14ac:dyDescent="0.3">
      <c r="B275" s="6"/>
      <c r="C275" s="6"/>
      <c r="D275" s="6">
        <f t="shared" si="20"/>
        <v>7</v>
      </c>
      <c r="E275" s="636" t="str">
        <f t="shared" si="22"/>
        <v>Non-Spin - PJM Market</v>
      </c>
      <c r="F275" s="303"/>
      <c r="G275" s="304"/>
      <c r="H275" s="304"/>
      <c r="I275" s="304">
        <v>0</v>
      </c>
      <c r="J275" s="304">
        <v>0</v>
      </c>
      <c r="K275" s="304">
        <v>0</v>
      </c>
      <c r="L275" s="304">
        <v>0</v>
      </c>
      <c r="M275" s="304">
        <v>0</v>
      </c>
      <c r="N275" s="304">
        <v>0</v>
      </c>
      <c r="O275" s="304">
        <v>0</v>
      </c>
      <c r="P275" s="304">
        <v>0</v>
      </c>
      <c r="Q275" s="304">
        <v>0</v>
      </c>
      <c r="R275" s="304">
        <v>0</v>
      </c>
      <c r="S275" s="304">
        <v>0</v>
      </c>
      <c r="T275" s="304">
        <v>0</v>
      </c>
      <c r="U275" s="304">
        <v>0</v>
      </c>
      <c r="V275" s="304">
        <v>0</v>
      </c>
      <c r="W275" s="304">
        <v>0</v>
      </c>
      <c r="X275" s="304">
        <v>0</v>
      </c>
      <c r="Y275" s="304">
        <v>0</v>
      </c>
      <c r="Z275" s="304">
        <v>0</v>
      </c>
      <c r="AA275" s="304">
        <v>0</v>
      </c>
      <c r="AB275" s="304">
        <v>0</v>
      </c>
      <c r="AC275" s="304"/>
      <c r="AD275" s="304"/>
      <c r="AE275" s="304"/>
      <c r="AF275" s="304"/>
      <c r="AG275" s="304"/>
      <c r="AH275" s="304"/>
      <c r="AI275" s="304"/>
      <c r="AJ275" s="304"/>
      <c r="AK275" s="304"/>
      <c r="AL275" s="304"/>
      <c r="AM275" s="304"/>
      <c r="AN275" s="304"/>
      <c r="AO275" s="304"/>
      <c r="AP275" s="163"/>
    </row>
    <row r="276" spans="2:42" x14ac:dyDescent="0.3">
      <c r="B276" s="6"/>
      <c r="C276" s="6"/>
      <c r="D276" s="6">
        <f t="shared" si="20"/>
        <v>7</v>
      </c>
      <c r="E276" s="636" t="str">
        <f t="shared" si="22"/>
        <v>Regulation - PJM Market</v>
      </c>
      <c r="F276" s="303"/>
      <c r="G276" s="304"/>
      <c r="H276" s="304"/>
      <c r="I276" s="304">
        <v>237303.19674387132</v>
      </c>
      <c r="J276" s="304">
        <v>139838.10249611284</v>
      </c>
      <c r="K276" s="304">
        <v>112699.91944466029</v>
      </c>
      <c r="L276" s="304">
        <v>87411.177440339859</v>
      </c>
      <c r="M276" s="304">
        <v>63970.176881775173</v>
      </c>
      <c r="N276" s="304">
        <v>56879.470210601772</v>
      </c>
      <c r="O276" s="304">
        <v>49788.763539428372</v>
      </c>
      <c r="P276" s="304">
        <v>42698.056868254978</v>
      </c>
      <c r="Q276" s="304">
        <v>35607.350197081578</v>
      </c>
      <c r="R276" s="304">
        <v>28516.643525908174</v>
      </c>
      <c r="S276" s="304">
        <v>28977.869765494906</v>
      </c>
      <c r="T276" s="304">
        <v>29439.096005081639</v>
      </c>
      <c r="U276" s="304">
        <v>29900.322244668369</v>
      </c>
      <c r="V276" s="304">
        <v>30361.548484255101</v>
      </c>
      <c r="W276" s="304">
        <v>30822.774723841834</v>
      </c>
      <c r="X276" s="304">
        <v>30718.580758980901</v>
      </c>
      <c r="Y276" s="304">
        <v>30614.386794119971</v>
      </c>
      <c r="Z276" s="304">
        <v>30510.192829259038</v>
      </c>
      <c r="AA276" s="304">
        <v>30405.998864398109</v>
      </c>
      <c r="AB276" s="304">
        <v>30301.804899537176</v>
      </c>
      <c r="AC276" s="304"/>
      <c r="AD276" s="304"/>
      <c r="AE276" s="304"/>
      <c r="AF276" s="304"/>
      <c r="AG276" s="304"/>
      <c r="AH276" s="304"/>
      <c r="AI276" s="304"/>
      <c r="AJ276" s="304"/>
      <c r="AK276" s="304"/>
      <c r="AL276" s="304"/>
      <c r="AM276" s="304"/>
      <c r="AN276" s="304"/>
      <c r="AO276" s="304"/>
      <c r="AP276" s="163"/>
    </row>
    <row r="277" spans="2:42" x14ac:dyDescent="0.3">
      <c r="B277" s="6"/>
      <c r="C277" s="6"/>
      <c r="D277" s="6">
        <f t="shared" si="20"/>
        <v>7</v>
      </c>
      <c r="E277" s="636" t="str">
        <f t="shared" si="22"/>
        <v>Incurred Energy Charges</v>
      </c>
      <c r="F277" s="303"/>
      <c r="G277" s="304"/>
      <c r="H277" s="304"/>
      <c r="I277" s="304"/>
      <c r="J277" s="304"/>
      <c r="K277" s="304"/>
      <c r="L277" s="304"/>
      <c r="M277" s="304"/>
      <c r="N277" s="304"/>
      <c r="O277" s="304"/>
      <c r="P277" s="304"/>
      <c r="Q277" s="304"/>
      <c r="R277" s="304"/>
      <c r="S277" s="304"/>
      <c r="T277" s="304"/>
      <c r="U277" s="304"/>
      <c r="V277" s="304"/>
      <c r="W277" s="304"/>
      <c r="X277" s="304"/>
      <c r="Y277" s="304"/>
      <c r="Z277" s="304"/>
      <c r="AA277" s="304"/>
      <c r="AB277" s="304"/>
      <c r="AC277" s="304"/>
      <c r="AD277" s="304"/>
      <c r="AE277" s="304"/>
      <c r="AF277" s="304"/>
      <c r="AG277" s="304"/>
      <c r="AH277" s="304"/>
      <c r="AI277" s="304"/>
      <c r="AJ277" s="304"/>
      <c r="AK277" s="304"/>
      <c r="AL277" s="304"/>
      <c r="AM277" s="304"/>
      <c r="AN277" s="304"/>
      <c r="AO277" s="304"/>
      <c r="AP277" s="163"/>
    </row>
    <row r="278" spans="2:42" x14ac:dyDescent="0.3">
      <c r="B278" s="6"/>
      <c r="C278" s="6"/>
      <c r="D278" s="6">
        <f t="shared" si="20"/>
        <v>7</v>
      </c>
      <c r="E278" s="636" t="str">
        <f t="shared" si="22"/>
        <v>As Used Demand Charges</v>
      </c>
      <c r="F278" s="303"/>
      <c r="G278" s="304"/>
      <c r="H278" s="304"/>
      <c r="I278" s="304">
        <v>0</v>
      </c>
      <c r="J278" s="304">
        <v>0</v>
      </c>
      <c r="K278" s="304">
        <v>0</v>
      </c>
      <c r="L278" s="304">
        <v>0</v>
      </c>
      <c r="M278" s="304">
        <v>0</v>
      </c>
      <c r="N278" s="304">
        <v>0</v>
      </c>
      <c r="O278" s="304">
        <v>0</v>
      </c>
      <c r="P278" s="304">
        <v>0</v>
      </c>
      <c r="Q278" s="304">
        <v>0</v>
      </c>
      <c r="R278" s="304">
        <v>0</v>
      </c>
      <c r="S278" s="304">
        <v>0</v>
      </c>
      <c r="T278" s="304">
        <v>0</v>
      </c>
      <c r="U278" s="304">
        <v>0</v>
      </c>
      <c r="V278" s="304">
        <v>0</v>
      </c>
      <c r="W278" s="304">
        <v>0</v>
      </c>
      <c r="X278" s="304">
        <v>0</v>
      </c>
      <c r="Y278" s="304">
        <v>0</v>
      </c>
      <c r="Z278" s="304">
        <v>0</v>
      </c>
      <c r="AA278" s="304">
        <v>0</v>
      </c>
      <c r="AB278" s="304">
        <v>0</v>
      </c>
      <c r="AC278" s="304"/>
      <c r="AD278" s="304"/>
      <c r="AE278" s="304"/>
      <c r="AF278" s="304"/>
      <c r="AG278" s="304"/>
      <c r="AH278" s="304"/>
      <c r="AI278" s="304"/>
      <c r="AJ278" s="304"/>
      <c r="AK278" s="304"/>
      <c r="AL278" s="304"/>
      <c r="AM278" s="304"/>
      <c r="AN278" s="304"/>
      <c r="AO278" s="304"/>
      <c r="AP278" s="163"/>
    </row>
    <row r="279" spans="2:42" x14ac:dyDescent="0.3">
      <c r="B279" s="6"/>
      <c r="C279" s="6"/>
      <c r="D279" s="6">
        <f t="shared" si="20"/>
        <v>7</v>
      </c>
      <c r="E279" s="636" t="str">
        <f t="shared" si="22"/>
        <v>Contract Demand Charges  Fixed</v>
      </c>
      <c r="F279" s="303"/>
      <c r="G279" s="304"/>
      <c r="H279" s="304"/>
      <c r="I279" s="304">
        <v>0</v>
      </c>
      <c r="J279" s="304">
        <v>0</v>
      </c>
      <c r="K279" s="304">
        <v>0</v>
      </c>
      <c r="L279" s="304">
        <v>0</v>
      </c>
      <c r="M279" s="304">
        <v>0</v>
      </c>
      <c r="N279" s="304">
        <v>0</v>
      </c>
      <c r="O279" s="304">
        <v>0</v>
      </c>
      <c r="P279" s="304">
        <v>0</v>
      </c>
      <c r="Q279" s="304">
        <v>0</v>
      </c>
      <c r="R279" s="304">
        <v>0</v>
      </c>
      <c r="S279" s="304">
        <v>0</v>
      </c>
      <c r="T279" s="304">
        <v>0</v>
      </c>
      <c r="U279" s="304">
        <v>0</v>
      </c>
      <c r="V279" s="304">
        <v>0</v>
      </c>
      <c r="W279" s="304">
        <v>0</v>
      </c>
      <c r="X279" s="304">
        <v>0</v>
      </c>
      <c r="Y279" s="304">
        <v>0</v>
      </c>
      <c r="Z279" s="304">
        <v>0</v>
      </c>
      <c r="AA279" s="304">
        <v>0</v>
      </c>
      <c r="AB279" s="304">
        <v>0</v>
      </c>
      <c r="AC279" s="304"/>
      <c r="AD279" s="304"/>
      <c r="AE279" s="304"/>
      <c r="AF279" s="304"/>
      <c r="AG279" s="304"/>
      <c r="AH279" s="304"/>
      <c r="AI279" s="304"/>
      <c r="AJ279" s="304"/>
      <c r="AK279" s="304"/>
      <c r="AL279" s="304"/>
      <c r="AM279" s="304"/>
      <c r="AN279" s="304"/>
      <c r="AO279" s="304"/>
      <c r="AP279" s="163"/>
    </row>
    <row r="280" spans="2:42" x14ac:dyDescent="0.3">
      <c r="B280" s="6"/>
      <c r="C280" s="6"/>
      <c r="D280" s="6">
        <f t="shared" si="20"/>
        <v>7</v>
      </c>
      <c r="E280" s="636" t="str">
        <f t="shared" si="22"/>
        <v>Customer Charges/ Fixed Charges</v>
      </c>
      <c r="F280" s="303"/>
      <c r="G280" s="304"/>
      <c r="H280" s="304"/>
      <c r="I280" s="304"/>
      <c r="J280" s="304"/>
      <c r="K280" s="304"/>
      <c r="L280" s="304"/>
      <c r="M280" s="304"/>
      <c r="N280" s="304"/>
      <c r="O280" s="304"/>
      <c r="P280" s="304"/>
      <c r="Q280" s="304"/>
      <c r="R280" s="304"/>
      <c r="S280" s="304"/>
      <c r="T280" s="304"/>
      <c r="U280" s="304"/>
      <c r="V280" s="304"/>
      <c r="W280" s="304"/>
      <c r="X280" s="304"/>
      <c r="Y280" s="304"/>
      <c r="Z280" s="304"/>
      <c r="AA280" s="304"/>
      <c r="AB280" s="304"/>
      <c r="AC280" s="304"/>
      <c r="AD280" s="304"/>
      <c r="AE280" s="304"/>
      <c r="AF280" s="304"/>
      <c r="AG280" s="304"/>
      <c r="AH280" s="304"/>
      <c r="AI280" s="304"/>
      <c r="AJ280" s="304"/>
      <c r="AK280" s="304"/>
      <c r="AL280" s="304"/>
      <c r="AM280" s="304"/>
      <c r="AN280" s="304"/>
      <c r="AO280" s="304"/>
      <c r="AP280" s="163"/>
    </row>
    <row r="281" spans="2:42" x14ac:dyDescent="0.3">
      <c r="B281" s="6"/>
      <c r="C281" s="6"/>
      <c r="D281" s="6">
        <f t="shared" si="20"/>
        <v>7</v>
      </c>
      <c r="E281" s="637" t="str">
        <f t="shared" si="22"/>
        <v>Energy Savings</v>
      </c>
      <c r="F281" s="303"/>
      <c r="G281" s="304"/>
      <c r="H281" s="304"/>
      <c r="I281" s="304">
        <v>-2780.7284955516225</v>
      </c>
      <c r="J281" s="304">
        <v>-16356.218750537839</v>
      </c>
      <c r="K281" s="304">
        <v>1800.4749364862801</v>
      </c>
      <c r="L281" s="617">
        <v>1929.4871876406251</v>
      </c>
      <c r="M281" s="617">
        <v>4641.8215929321595</v>
      </c>
      <c r="N281" s="617">
        <v>4056.0763435069821</v>
      </c>
      <c r="O281" s="617">
        <v>3470.3310940818046</v>
      </c>
      <c r="P281" s="617">
        <v>2884.5858446566272</v>
      </c>
      <c r="Q281" s="617">
        <v>2298.8405952314497</v>
      </c>
      <c r="R281" s="617">
        <v>1713.0953458062722</v>
      </c>
      <c r="S281" s="617">
        <v>5653.2380042218019</v>
      </c>
      <c r="T281" s="617">
        <v>9593.3806626373316</v>
      </c>
      <c r="U281" s="617">
        <v>13533.52332105286</v>
      </c>
      <c r="V281" s="617">
        <v>17473.665979468391</v>
      </c>
      <c r="W281" s="617">
        <v>21413.808637883922</v>
      </c>
      <c r="X281" s="617">
        <v>20390.743517367904</v>
      </c>
      <c r="Y281" s="617">
        <v>19367.678396851883</v>
      </c>
      <c r="Z281" s="617">
        <v>18344.613276335866</v>
      </c>
      <c r="AA281" s="617">
        <v>17321.548155819844</v>
      </c>
      <c r="AB281" s="304">
        <v>16298.483035303827</v>
      </c>
      <c r="AC281" s="304"/>
      <c r="AD281" s="304"/>
      <c r="AE281" s="304"/>
      <c r="AF281" s="304"/>
      <c r="AG281" s="304"/>
      <c r="AH281" s="304"/>
      <c r="AI281" s="304"/>
      <c r="AJ281" s="304"/>
      <c r="AK281" s="304"/>
      <c r="AL281" s="304"/>
      <c r="AM281" s="304"/>
      <c r="AN281" s="304"/>
      <c r="AO281" s="304"/>
      <c r="AP281" s="163"/>
    </row>
    <row r="282" spans="2:42" x14ac:dyDescent="0.3">
      <c r="B282" s="6"/>
      <c r="C282" s="6"/>
      <c r="D282" s="6">
        <f t="shared" si="20"/>
        <v>7</v>
      </c>
      <c r="E282" s="637" t="str">
        <f t="shared" si="22"/>
        <v xml:space="preserve">Demand Savings </v>
      </c>
      <c r="F282" s="303"/>
      <c r="G282" s="304"/>
      <c r="H282" s="304"/>
      <c r="I282" s="304">
        <v>117419.35989043057</v>
      </c>
      <c r="J282" s="304">
        <v>117419.99666128815</v>
      </c>
      <c r="K282" s="304">
        <v>109759.80695904059</v>
      </c>
      <c r="L282" s="617">
        <v>87686.157122178949</v>
      </c>
      <c r="M282" s="617">
        <v>73953.807581829475</v>
      </c>
      <c r="N282" s="617">
        <v>71094.654019658934</v>
      </c>
      <c r="O282" s="617">
        <v>68235.500457488393</v>
      </c>
      <c r="P282" s="617">
        <v>65376.34689531786</v>
      </c>
      <c r="Q282" s="617">
        <v>62517.193333147326</v>
      </c>
      <c r="R282" s="617">
        <v>59658.0397709768</v>
      </c>
      <c r="S282" s="617">
        <v>60850.632787180861</v>
      </c>
      <c r="T282" s="617">
        <v>62043.225803384921</v>
      </c>
      <c r="U282" s="617">
        <v>63235.818819588982</v>
      </c>
      <c r="V282" s="617">
        <v>64428.411835793042</v>
      </c>
      <c r="W282" s="617">
        <v>65621.004851997102</v>
      </c>
      <c r="X282" s="617">
        <v>66823.537929809201</v>
      </c>
      <c r="Y282" s="617">
        <v>68026.0710076213</v>
      </c>
      <c r="Z282" s="617">
        <v>69228.604085433399</v>
      </c>
      <c r="AA282" s="617">
        <v>70431.137163245498</v>
      </c>
      <c r="AB282" s="304">
        <v>71633.670241057611</v>
      </c>
      <c r="AC282" s="304"/>
      <c r="AD282" s="304"/>
      <c r="AE282" s="304"/>
      <c r="AF282" s="304"/>
      <c r="AG282" s="304"/>
      <c r="AH282" s="304"/>
      <c r="AI282" s="304"/>
      <c r="AJ282" s="304"/>
      <c r="AK282" s="304"/>
      <c r="AL282" s="304"/>
      <c r="AM282" s="304"/>
      <c r="AN282" s="304"/>
      <c r="AO282" s="304"/>
      <c r="AP282" s="163"/>
    </row>
    <row r="283" spans="2:42" x14ac:dyDescent="0.3">
      <c r="B283" s="6"/>
      <c r="C283" s="6"/>
      <c r="D283" s="6">
        <f t="shared" si="20"/>
        <v>7</v>
      </c>
      <c r="E283" s="638" t="str">
        <f t="shared" si="22"/>
        <v>Energy Generation - Export</v>
      </c>
      <c r="F283" s="303"/>
      <c r="G283" s="304"/>
      <c r="H283" s="304"/>
      <c r="I283" s="304">
        <v>9886.8722861533097</v>
      </c>
      <c r="J283" s="304">
        <v>17595.657408231986</v>
      </c>
      <c r="K283" s="304">
        <v>9112.6503075501078</v>
      </c>
      <c r="L283" s="617">
        <v>10128.258042676716</v>
      </c>
      <c r="M283" s="617">
        <v>17461.09858925817</v>
      </c>
      <c r="N283" s="617">
        <v>21141.332865403758</v>
      </c>
      <c r="O283" s="617">
        <v>24821.567141549349</v>
      </c>
      <c r="P283" s="617">
        <v>28501.801417694936</v>
      </c>
      <c r="Q283" s="617">
        <v>32182.035693840524</v>
      </c>
      <c r="R283" s="617">
        <v>35862.269969986111</v>
      </c>
      <c r="S283" s="617">
        <v>38295.747106977135</v>
      </c>
      <c r="T283" s="617">
        <v>40729.224243968158</v>
      </c>
      <c r="U283" s="617">
        <v>43162.701380959181</v>
      </c>
      <c r="V283" s="617">
        <v>45596.178517950204</v>
      </c>
      <c r="W283" s="617">
        <v>48029.655654941227</v>
      </c>
      <c r="X283" s="617">
        <v>50862.453148967317</v>
      </c>
      <c r="Y283" s="617">
        <v>53695.250642993407</v>
      </c>
      <c r="Z283" s="617">
        <v>56528.04813701949</v>
      </c>
      <c r="AA283" s="617">
        <v>59360.84563104558</v>
      </c>
      <c r="AB283" s="304">
        <v>62193.643125071671</v>
      </c>
      <c r="AC283" s="304"/>
      <c r="AD283" s="304"/>
      <c r="AE283" s="304"/>
      <c r="AF283" s="304"/>
      <c r="AG283" s="304"/>
      <c r="AH283" s="304"/>
      <c r="AI283" s="304"/>
      <c r="AJ283" s="304"/>
      <c r="AK283" s="304"/>
      <c r="AL283" s="304"/>
      <c r="AM283" s="304"/>
      <c r="AN283" s="304"/>
      <c r="AO283" s="304"/>
      <c r="AP283" s="163"/>
    </row>
    <row r="284" spans="2:42" x14ac:dyDescent="0.3">
      <c r="B284" s="6"/>
      <c r="C284" s="6"/>
      <c r="D284" s="6">
        <f t="shared" si="20"/>
        <v>7</v>
      </c>
      <c r="E284" s="638" t="str">
        <f t="shared" si="22"/>
        <v>Generation Capacity</v>
      </c>
      <c r="F284" s="303"/>
      <c r="G284" s="304"/>
      <c r="H284" s="304"/>
      <c r="I284" s="304">
        <v>54779.264094847684</v>
      </c>
      <c r="J284" s="304">
        <v>54262.765988768515</v>
      </c>
      <c r="K284" s="304">
        <v>41075.216684261803</v>
      </c>
      <c r="L284" s="617">
        <v>44763.512031261671</v>
      </c>
      <c r="M284" s="617">
        <v>52757.329159124005</v>
      </c>
      <c r="N284" s="617">
        <v>55319.597793091983</v>
      </c>
      <c r="O284" s="617">
        <v>57881.866427059955</v>
      </c>
      <c r="P284" s="617">
        <v>60444.135061027926</v>
      </c>
      <c r="Q284" s="617">
        <v>63006.403694995897</v>
      </c>
      <c r="R284" s="617">
        <v>65568.672328963861</v>
      </c>
      <c r="S284" s="617">
        <v>69927.31223534733</v>
      </c>
      <c r="T284" s="617">
        <v>73447.541613439083</v>
      </c>
      <c r="U284" s="617">
        <v>76967.770991530837</v>
      </c>
      <c r="V284" s="617">
        <v>80488.00036962259</v>
      </c>
      <c r="W284" s="617">
        <v>84008.229747714373</v>
      </c>
      <c r="X284" s="617">
        <v>87850.288350088042</v>
      </c>
      <c r="Y284" s="617">
        <v>91692.34695246171</v>
      </c>
      <c r="Z284" s="617">
        <v>95534.405554835379</v>
      </c>
      <c r="AA284" s="617">
        <v>99376.464157209048</v>
      </c>
      <c r="AB284" s="304">
        <v>103218.52275958272</v>
      </c>
      <c r="AC284" s="304"/>
      <c r="AD284" s="304"/>
      <c r="AE284" s="304"/>
      <c r="AF284" s="304"/>
      <c r="AG284" s="304"/>
      <c r="AH284" s="304"/>
      <c r="AI284" s="304"/>
      <c r="AJ284" s="304"/>
      <c r="AK284" s="304"/>
      <c r="AL284" s="304"/>
      <c r="AM284" s="304"/>
      <c r="AN284" s="304"/>
      <c r="AO284" s="304"/>
      <c r="AP284" s="163"/>
    </row>
    <row r="285" spans="2:42" x14ac:dyDescent="0.3">
      <c r="B285" s="6"/>
      <c r="C285" s="6"/>
      <c r="D285" s="6">
        <f t="shared" si="20"/>
        <v>7</v>
      </c>
      <c r="E285" s="638" t="str">
        <f t="shared" si="22"/>
        <v>Transmission Capacity</v>
      </c>
      <c r="F285" s="303"/>
      <c r="G285" s="304"/>
      <c r="H285" s="304"/>
      <c r="I285" s="304">
        <v>18667.75846209373</v>
      </c>
      <c r="J285" s="304">
        <v>18491.745475250395</v>
      </c>
      <c r="K285" s="304">
        <v>13997.672960927615</v>
      </c>
      <c r="L285" s="617">
        <v>15254.575692505812</v>
      </c>
      <c r="M285" s="617">
        <v>17978.720490703603</v>
      </c>
      <c r="N285" s="617">
        <v>18851.894177211962</v>
      </c>
      <c r="O285" s="617">
        <v>19725.067863720316</v>
      </c>
      <c r="P285" s="617">
        <v>20598.241550228671</v>
      </c>
      <c r="Q285" s="617">
        <v>21471.415236737026</v>
      </c>
      <c r="R285" s="617">
        <v>22344.588923245377</v>
      </c>
      <c r="S285" s="617">
        <v>23361.481602533902</v>
      </c>
      <c r="T285" s="617">
        <v>24200.636452652878</v>
      </c>
      <c r="U285" s="617">
        <v>25039.791302771853</v>
      </c>
      <c r="V285" s="617">
        <v>25878.946152890825</v>
      </c>
      <c r="W285" s="617">
        <v>26718.101003009797</v>
      </c>
      <c r="X285" s="617">
        <v>27337.78307878281</v>
      </c>
      <c r="Y285" s="617">
        <v>27957.465154555823</v>
      </c>
      <c r="Z285" s="617">
        <v>28577.147230328843</v>
      </c>
      <c r="AA285" s="617">
        <v>29196.829306101856</v>
      </c>
      <c r="AB285" s="304">
        <v>29816.511381874858</v>
      </c>
      <c r="AC285" s="304"/>
      <c r="AD285" s="304"/>
      <c r="AE285" s="304"/>
      <c r="AF285" s="304"/>
      <c r="AG285" s="304"/>
      <c r="AH285" s="304"/>
      <c r="AI285" s="304"/>
      <c r="AJ285" s="304"/>
      <c r="AK285" s="304"/>
      <c r="AL285" s="304"/>
      <c r="AM285" s="304"/>
      <c r="AN285" s="304"/>
      <c r="AO285" s="304"/>
      <c r="AP285" s="163"/>
    </row>
    <row r="286" spans="2:42" x14ac:dyDescent="0.3">
      <c r="B286" s="6"/>
      <c r="C286" s="6"/>
      <c r="D286" s="6">
        <f t="shared" si="20"/>
        <v>7</v>
      </c>
      <c r="E286" s="638" t="str">
        <f t="shared" si="22"/>
        <v>Distribution Capacity</v>
      </c>
      <c r="F286" s="303"/>
      <c r="G286" s="304"/>
      <c r="H286" s="304"/>
      <c r="I286" s="304">
        <v>2679.9464156256022</v>
      </c>
      <c r="J286" s="304">
        <v>3278.2875834068486</v>
      </c>
      <c r="K286" s="304">
        <v>2711.7334644903417</v>
      </c>
      <c r="L286" s="617">
        <v>3050.046060328144</v>
      </c>
      <c r="M286" s="617">
        <v>4518.4645498091868</v>
      </c>
      <c r="N286" s="617">
        <v>4713.9586336891443</v>
      </c>
      <c r="O286" s="617">
        <v>4909.452717569101</v>
      </c>
      <c r="P286" s="617">
        <v>5104.9468014490585</v>
      </c>
      <c r="Q286" s="617">
        <v>5300.4408853290161</v>
      </c>
      <c r="R286" s="617">
        <v>5495.9349692089718</v>
      </c>
      <c r="S286" s="617">
        <v>5750.2481074208481</v>
      </c>
      <c r="T286" s="617">
        <v>5960.8443728793372</v>
      </c>
      <c r="U286" s="617">
        <v>6171.4406383378246</v>
      </c>
      <c r="V286" s="617">
        <v>6382.0369037963146</v>
      </c>
      <c r="W286" s="617">
        <v>6592.6331692548029</v>
      </c>
      <c r="X286" s="617">
        <v>6879.6109944278733</v>
      </c>
      <c r="Y286" s="617">
        <v>7166.5888196009419</v>
      </c>
      <c r="Z286" s="617">
        <v>7453.5666447740114</v>
      </c>
      <c r="AA286" s="617">
        <v>7740.5444699470818</v>
      </c>
      <c r="AB286" s="304">
        <v>8027.5222951201531</v>
      </c>
      <c r="AC286" s="304"/>
      <c r="AD286" s="304"/>
      <c r="AE286" s="304"/>
      <c r="AF286" s="304"/>
      <c r="AG286" s="304"/>
      <c r="AH286" s="304"/>
      <c r="AI286" s="304"/>
      <c r="AJ286" s="304"/>
      <c r="AK286" s="304"/>
      <c r="AL286" s="304"/>
      <c r="AM286" s="304"/>
      <c r="AN286" s="304"/>
      <c r="AO286" s="304"/>
      <c r="AP286" s="163"/>
    </row>
    <row r="287" spans="2:42" x14ac:dyDescent="0.3">
      <c r="B287" s="6"/>
      <c r="C287" s="6"/>
      <c r="D287" s="6">
        <f t="shared" si="20"/>
        <v>7</v>
      </c>
      <c r="E287" s="638" t="str">
        <f t="shared" si="22"/>
        <v>GHG Impacts</v>
      </c>
      <c r="F287" s="303"/>
      <c r="G287" s="304"/>
      <c r="H287" s="304"/>
      <c r="I287" s="304">
        <v>59378.701877846659</v>
      </c>
      <c r="J287" s="304">
        <v>91656.704654086367</v>
      </c>
      <c r="K287" s="304">
        <v>34502.753063157325</v>
      </c>
      <c r="L287" s="617">
        <v>40598.648710577261</v>
      </c>
      <c r="M287" s="617">
        <v>54679.05650734446</v>
      </c>
      <c r="N287" s="617">
        <v>69168.528662045792</v>
      </c>
      <c r="O287" s="617">
        <v>83658.000816747139</v>
      </c>
      <c r="P287" s="617">
        <v>98147.472971448471</v>
      </c>
      <c r="Q287" s="617">
        <v>112636.9451261498</v>
      </c>
      <c r="R287" s="617">
        <v>127126.41728085115</v>
      </c>
      <c r="S287" s="617">
        <v>141645.53241485456</v>
      </c>
      <c r="T287" s="617">
        <v>156164.64754885796</v>
      </c>
      <c r="U287" s="617">
        <v>170683.76268286139</v>
      </c>
      <c r="V287" s="617">
        <v>185202.87781686481</v>
      </c>
      <c r="W287" s="617">
        <v>199721.99295086821</v>
      </c>
      <c r="X287" s="617">
        <v>218005.33204204927</v>
      </c>
      <c r="Y287" s="617">
        <v>236288.67113323029</v>
      </c>
      <c r="Z287" s="617">
        <v>254572.01022441135</v>
      </c>
      <c r="AA287" s="617">
        <v>272855.34931559238</v>
      </c>
      <c r="AB287" s="304">
        <v>291138.68840677344</v>
      </c>
      <c r="AC287" s="304"/>
      <c r="AD287" s="304"/>
      <c r="AE287" s="304"/>
      <c r="AF287" s="304"/>
      <c r="AG287" s="304"/>
      <c r="AH287" s="304"/>
      <c r="AI287" s="304"/>
      <c r="AJ287" s="304"/>
      <c r="AK287" s="304"/>
      <c r="AL287" s="304"/>
      <c r="AM287" s="304"/>
      <c r="AN287" s="304"/>
      <c r="AO287" s="304"/>
      <c r="AP287" s="163"/>
    </row>
    <row r="288" spans="2:42" x14ac:dyDescent="0.3">
      <c r="B288" s="6"/>
      <c r="C288" s="6"/>
      <c r="D288" s="6">
        <f t="shared" si="20"/>
        <v>7</v>
      </c>
      <c r="E288" s="638" t="str">
        <f t="shared" si="22"/>
        <v>Market Price Effects - Wholesale Energy</v>
      </c>
      <c r="F288" s="303"/>
      <c r="G288" s="304"/>
      <c r="H288" s="304"/>
      <c r="I288" s="304">
        <v>4740.9326619835656</v>
      </c>
      <c r="J288" s="304">
        <v>7816.8687468434446</v>
      </c>
      <c r="K288" s="304">
        <v>12001.755020844479</v>
      </c>
      <c r="L288" s="617">
        <v>13461.369817979561</v>
      </c>
      <c r="M288" s="617">
        <v>24833.329448940451</v>
      </c>
      <c r="N288" s="617">
        <v>22949.273644693541</v>
      </c>
      <c r="O288" s="617">
        <v>21065.217840446632</v>
      </c>
      <c r="P288" s="617">
        <v>19181.162036199719</v>
      </c>
      <c r="Q288" s="617">
        <v>17297.10623195281</v>
      </c>
      <c r="R288" s="617">
        <v>15413.050427705901</v>
      </c>
      <c r="S288" s="617">
        <v>18581.185062779281</v>
      </c>
      <c r="T288" s="617">
        <v>21749.319697852665</v>
      </c>
      <c r="U288" s="617">
        <v>24917.454332926045</v>
      </c>
      <c r="V288" s="617">
        <v>28085.588967999429</v>
      </c>
      <c r="W288" s="617">
        <v>31253.723603072809</v>
      </c>
      <c r="X288" s="617">
        <v>32684.95177083986</v>
      </c>
      <c r="Y288" s="617">
        <v>34116.179938606911</v>
      </c>
      <c r="Z288" s="617">
        <v>35547.408106373958</v>
      </c>
      <c r="AA288" s="617">
        <v>36978.636274141012</v>
      </c>
      <c r="AB288" s="304">
        <v>38409.864441908059</v>
      </c>
      <c r="AC288" s="304"/>
      <c r="AD288" s="304"/>
      <c r="AE288" s="304"/>
      <c r="AF288" s="304"/>
      <c r="AG288" s="304"/>
      <c r="AH288" s="304"/>
      <c r="AI288" s="304"/>
      <c r="AJ288" s="304"/>
      <c r="AK288" s="304"/>
      <c r="AL288" s="304"/>
      <c r="AM288" s="304"/>
      <c r="AN288" s="304"/>
      <c r="AO288" s="304"/>
      <c r="AP288" s="163"/>
    </row>
    <row r="289" spans="2:42" x14ac:dyDescent="0.3">
      <c r="B289" s="6"/>
      <c r="C289" s="6"/>
      <c r="D289" s="6">
        <f t="shared" si="20"/>
        <v>7</v>
      </c>
      <c r="E289" s="638" t="str">
        <f t="shared" si="22"/>
        <v>Market Price Effects - Wholesale Capacity</v>
      </c>
      <c r="F289" s="303"/>
      <c r="G289" s="304"/>
      <c r="H289" s="304"/>
      <c r="I289" s="304">
        <v>0</v>
      </c>
      <c r="J289" s="304">
        <v>0</v>
      </c>
      <c r="K289" s="304">
        <v>0</v>
      </c>
      <c r="L289" s="617">
        <v>0</v>
      </c>
      <c r="M289" s="617">
        <v>0</v>
      </c>
      <c r="N289" s="617">
        <v>0</v>
      </c>
      <c r="O289" s="617">
        <v>0</v>
      </c>
      <c r="P289" s="617">
        <v>0</v>
      </c>
      <c r="Q289" s="617">
        <v>0</v>
      </c>
      <c r="R289" s="617">
        <v>0</v>
      </c>
      <c r="S289" s="617">
        <v>0</v>
      </c>
      <c r="T289" s="617">
        <v>0</v>
      </c>
      <c r="U289" s="617">
        <v>0</v>
      </c>
      <c r="V289" s="617">
        <v>0</v>
      </c>
      <c r="W289" s="617">
        <v>0</v>
      </c>
      <c r="X289" s="617">
        <v>0</v>
      </c>
      <c r="Y289" s="617">
        <v>0</v>
      </c>
      <c r="Z289" s="617">
        <v>0</v>
      </c>
      <c r="AA289" s="617">
        <v>0</v>
      </c>
      <c r="AB289" s="304">
        <v>0</v>
      </c>
      <c r="AC289" s="304"/>
      <c r="AD289" s="304"/>
      <c r="AE289" s="304"/>
      <c r="AF289" s="304"/>
      <c r="AG289" s="304"/>
      <c r="AH289" s="304"/>
      <c r="AI289" s="304"/>
      <c r="AJ289" s="304"/>
      <c r="AK289" s="304"/>
      <c r="AL289" s="304"/>
      <c r="AM289" s="304"/>
      <c r="AN289" s="304"/>
      <c r="AO289" s="304"/>
      <c r="AP289" s="163"/>
    </row>
    <row r="290" spans="2:42" x14ac:dyDescent="0.3">
      <c r="B290" s="6"/>
      <c r="C290" s="6"/>
      <c r="D290" s="6">
        <f t="shared" si="20"/>
        <v>7</v>
      </c>
      <c r="E290" s="639" t="str">
        <f t="shared" si="22"/>
        <v>Avoided Cost of Participant Backup Generator</v>
      </c>
      <c r="F290" s="303"/>
      <c r="G290" s="305"/>
      <c r="H290" s="304"/>
      <c r="I290" s="303"/>
      <c r="J290" s="303"/>
      <c r="K290" s="303"/>
      <c r="L290" s="303"/>
      <c r="M290" s="303"/>
      <c r="N290" s="303"/>
      <c r="O290" s="303"/>
      <c r="P290" s="303"/>
      <c r="Q290" s="303"/>
      <c r="R290" s="303"/>
      <c r="S290" s="303"/>
      <c r="T290" s="303"/>
      <c r="U290" s="303"/>
      <c r="V290" s="303"/>
      <c r="W290" s="303"/>
      <c r="X290" s="303"/>
      <c r="Y290" s="303"/>
      <c r="Z290" s="303"/>
      <c r="AA290" s="303"/>
      <c r="AB290" s="303"/>
      <c r="AC290" s="303" cm="1">
        <f t="array" ref="AC290">IF(AC$31=Inputs!$E$5,INDEX(Inputs!$BV$10:$BV$25,$D290)*INDEX(StdConfigDesc,$D290,$L$29)*1000,0)</f>
        <v>0</v>
      </c>
      <c r="AD290" s="303" cm="1">
        <f t="array" ref="AD290">IF(AD$31=Inputs!$E$5,INDEX(Inputs!$BV$10:$BV$25,$D290)*INDEX(StdConfigDesc,$D290,$L$29)*1000,0)</f>
        <v>0</v>
      </c>
      <c r="AE290" s="303" cm="1">
        <f t="array" ref="AE290">IF(AE$31=Inputs!$E$5,INDEX(Inputs!$BV$10:$BV$25,$D290)*INDEX(StdConfigDesc,$D290,$L$29)*1000,0)</f>
        <v>0</v>
      </c>
      <c r="AF290" s="303" cm="1">
        <f t="array" ref="AF290">IF(AF$31=Inputs!$E$5,INDEX(Inputs!$BV$10:$BV$25,$D290)*INDEX(StdConfigDesc,$D290,$L$29)*1000,0)</f>
        <v>0</v>
      </c>
      <c r="AG290" s="303" cm="1">
        <f t="array" ref="AG290">IF(AG$31=Inputs!$E$5,INDEX(Inputs!$BV$10:$BV$25,$D290)*INDEX(StdConfigDesc,$D290,$L$29)*1000,0)</f>
        <v>0</v>
      </c>
      <c r="AH290" s="303" cm="1">
        <f t="array" ref="AH290">IF(AH$31=Inputs!$E$5,INDEX(Inputs!$BV$10:$BV$25,$D290)*INDEX(StdConfigDesc,$D290,$L$29)*1000,0)</f>
        <v>0</v>
      </c>
      <c r="AI290" s="303" cm="1">
        <f t="array" ref="AI290">IF(AI$31=Inputs!$E$5,INDEX(Inputs!$BV$10:$BV$25,$D290)*INDEX(StdConfigDesc,$D290,$L$29)*1000,0)</f>
        <v>0</v>
      </c>
      <c r="AJ290" s="303" cm="1">
        <f t="array" ref="AJ290">IF(AJ$31=Inputs!$E$5,INDEX(Inputs!$BV$10:$BV$25,$D290)*INDEX(StdConfigDesc,$D290,$L$29)*1000,0)</f>
        <v>0</v>
      </c>
      <c r="AK290" s="303" cm="1">
        <f t="array" ref="AK290">IF(AK$31=Inputs!$E$5,INDEX(Inputs!$BV$10:$BV$25,$D290)*INDEX(StdConfigDesc,$D290,$L$29)*1000,0)</f>
        <v>0</v>
      </c>
      <c r="AL290" s="303" cm="1">
        <f t="array" ref="AL290">IF(AL$31=Inputs!$E$5,INDEX(Inputs!$BV$10:$BV$25,$D290)*INDEX(StdConfigDesc,$D290,$L$29)*1000,0)</f>
        <v>0</v>
      </c>
      <c r="AM290" s="303" cm="1">
        <f t="array" ref="AM290">IF(AM$31=Inputs!$E$5,INDEX(Inputs!$BV$10:$BV$25,$D290)*INDEX(StdConfigDesc,$D290,$L$29)*1000,0)</f>
        <v>0</v>
      </c>
      <c r="AN290" s="303" cm="1">
        <f t="array" ref="AN290">IF(AN$31=Inputs!$E$5,INDEX(Inputs!$BV$10:$BV$25,$D290)*INDEX(StdConfigDesc,$D290,$L$29)*1000,0)</f>
        <v>0</v>
      </c>
      <c r="AO290" s="303" cm="1">
        <f t="array" ref="AO290">IF(AO$31=Inputs!$E$5,INDEX(Inputs!$BV$10:$BV$25,$D290)*INDEX(StdConfigDesc,$D290,$L$29)*1000,0)</f>
        <v>0</v>
      </c>
      <c r="AP290" s="163"/>
    </row>
    <row r="291" spans="2:42" x14ac:dyDescent="0.3">
      <c r="B291" s="6"/>
      <c r="C291" s="6"/>
      <c r="D291" s="6">
        <f t="shared" si="20"/>
        <v>7</v>
      </c>
      <c r="E291" s="640" t="str">
        <f t="shared" si="22"/>
        <v>Full Eq DoD Cycle</v>
      </c>
      <c r="F291" s="303"/>
      <c r="G291" s="303"/>
      <c r="H291" s="313"/>
      <c r="I291" s="308">
        <v>365.00000000000273</v>
      </c>
      <c r="J291" s="308">
        <v>364.99999999999847</v>
      </c>
      <c r="K291" s="308">
        <v>364.99999999999324</v>
      </c>
      <c r="L291" s="618">
        <v>364.9999999999971</v>
      </c>
      <c r="M291" s="618">
        <v>365.00000000000603</v>
      </c>
      <c r="N291" s="618">
        <v>365.00000000000603</v>
      </c>
      <c r="O291" s="618">
        <v>365.00000000000603</v>
      </c>
      <c r="P291" s="618">
        <v>365.00000000000603</v>
      </c>
      <c r="Q291" s="618">
        <v>365.00000000000603</v>
      </c>
      <c r="R291" s="618">
        <v>364.99999999999824</v>
      </c>
      <c r="S291" s="618">
        <v>364.99999999999824</v>
      </c>
      <c r="T291" s="618">
        <v>364.99999999999824</v>
      </c>
      <c r="U291" s="618">
        <v>364.99999999999824</v>
      </c>
      <c r="V291" s="618">
        <v>364.99999999999824</v>
      </c>
      <c r="W291" s="618">
        <v>365.00000000000051</v>
      </c>
      <c r="X291" s="618">
        <v>365.00000000000051</v>
      </c>
      <c r="Y291" s="618">
        <v>365.00000000000051</v>
      </c>
      <c r="Z291" s="618">
        <v>365.00000000000051</v>
      </c>
      <c r="AA291" s="618">
        <v>365.00000000000051</v>
      </c>
      <c r="AB291" s="308">
        <v>364.99999999999937</v>
      </c>
      <c r="AC291" s="309"/>
      <c r="AD291" s="309"/>
      <c r="AE291" s="309"/>
      <c r="AF291" s="309"/>
      <c r="AG291" s="309"/>
      <c r="AH291" s="309"/>
      <c r="AI291" s="309"/>
      <c r="AJ291" s="309"/>
      <c r="AK291" s="309"/>
      <c r="AL291" s="309"/>
      <c r="AM291" s="309"/>
      <c r="AN291" s="309"/>
      <c r="AO291" s="309"/>
      <c r="AP291" s="163"/>
    </row>
    <row r="292" spans="2:42" x14ac:dyDescent="0.3">
      <c r="B292" s="6"/>
      <c r="C292" s="6"/>
      <c r="D292" s="6">
        <f t="shared" si="20"/>
        <v>7</v>
      </c>
      <c r="E292" s="640" t="str">
        <f t="shared" si="22"/>
        <v>Export MWh</v>
      </c>
      <c r="F292" s="303"/>
      <c r="G292" s="303"/>
      <c r="H292" s="313"/>
      <c r="I292" s="308">
        <v>249.51</v>
      </c>
      <c r="J292" s="308">
        <v>436.51</v>
      </c>
      <c r="K292" s="308">
        <v>203.88399999999999</v>
      </c>
      <c r="L292" s="618">
        <v>209.328</v>
      </c>
      <c r="M292" s="618">
        <v>304.68799999999999</v>
      </c>
      <c r="N292" s="618">
        <v>351.6524</v>
      </c>
      <c r="O292" s="618">
        <v>398.61680000000001</v>
      </c>
      <c r="P292" s="618">
        <v>445.58120000000002</v>
      </c>
      <c r="Q292" s="618">
        <v>492.54560000000004</v>
      </c>
      <c r="R292" s="618">
        <v>539.51</v>
      </c>
      <c r="S292" s="618">
        <v>559.01400000000001</v>
      </c>
      <c r="T292" s="618">
        <v>578.51800000000003</v>
      </c>
      <c r="U292" s="618">
        <v>598.02200000000005</v>
      </c>
      <c r="V292" s="618">
        <v>617.52600000000007</v>
      </c>
      <c r="W292" s="618">
        <v>637.03</v>
      </c>
      <c r="X292" s="618">
        <v>663.30160000000001</v>
      </c>
      <c r="Y292" s="618">
        <v>689.57320000000004</v>
      </c>
      <c r="Z292" s="618">
        <v>715.84480000000008</v>
      </c>
      <c r="AA292" s="618">
        <v>742.11640000000011</v>
      </c>
      <c r="AB292" s="308">
        <v>768.38800000000003</v>
      </c>
      <c r="AC292" s="309"/>
      <c r="AD292" s="309"/>
      <c r="AE292" s="309"/>
      <c r="AF292" s="309"/>
      <c r="AG292" s="309"/>
      <c r="AH292" s="309"/>
      <c r="AI292" s="309"/>
      <c r="AJ292" s="309"/>
      <c r="AK292" s="309"/>
      <c r="AL292" s="309"/>
      <c r="AM292" s="309"/>
      <c r="AN292" s="309"/>
      <c r="AO292" s="309"/>
      <c r="AP292" s="163"/>
    </row>
    <row r="293" spans="2:42" x14ac:dyDescent="0.3">
      <c r="B293" s="6"/>
      <c r="C293" s="6"/>
      <c r="D293" s="6">
        <f t="shared" si="20"/>
        <v>7</v>
      </c>
      <c r="E293" s="640" t="str">
        <f t="shared" si="22"/>
        <v>Charge MWh</v>
      </c>
      <c r="F293" s="303"/>
      <c r="G293" s="303"/>
      <c r="H293" s="313"/>
      <c r="I293" s="311"/>
      <c r="J293" s="311"/>
      <c r="K293" s="311"/>
      <c r="L293" s="619"/>
      <c r="M293" s="619"/>
      <c r="N293" s="619"/>
      <c r="O293" s="619"/>
      <c r="P293" s="619"/>
      <c r="Q293" s="619"/>
      <c r="R293" s="619"/>
      <c r="S293" s="619"/>
      <c r="T293" s="619"/>
      <c r="U293" s="619"/>
      <c r="V293" s="619"/>
      <c r="W293" s="619"/>
      <c r="X293" s="619"/>
      <c r="Y293" s="619"/>
      <c r="Z293" s="619"/>
      <c r="AA293" s="619"/>
      <c r="AB293" s="311"/>
      <c r="AC293" s="313"/>
      <c r="AD293" s="313"/>
      <c r="AE293" s="313"/>
      <c r="AF293" s="313"/>
      <c r="AG293" s="313"/>
      <c r="AH293" s="313"/>
      <c r="AI293" s="313"/>
      <c r="AJ293" s="313"/>
      <c r="AK293" s="313"/>
      <c r="AL293" s="313"/>
      <c r="AM293" s="313"/>
      <c r="AN293" s="313"/>
      <c r="AO293" s="313"/>
      <c r="AP293" s="163"/>
    </row>
    <row r="294" spans="2:42" x14ac:dyDescent="0.3">
      <c r="B294" s="6"/>
      <c r="C294" s="6"/>
      <c r="D294" s="6">
        <f t="shared" si="20"/>
        <v>7</v>
      </c>
      <c r="E294" s="641" t="str">
        <f t="shared" si="22"/>
        <v>Total ESS Charge MWh</v>
      </c>
      <c r="F294" s="303"/>
      <c r="G294" s="303"/>
      <c r="H294" s="313"/>
      <c r="I294" s="308">
        <v>1713.3167856796974</v>
      </c>
      <c r="J294" s="308">
        <v>1713.3167856796779</v>
      </c>
      <c r="K294" s="308">
        <v>1713.3167856796529</v>
      </c>
      <c r="L294" s="618">
        <v>1713.3167856796715</v>
      </c>
      <c r="M294" s="618">
        <v>1713.3167856797129</v>
      </c>
      <c r="N294" s="618">
        <v>1713.3167856797129</v>
      </c>
      <c r="O294" s="618">
        <v>1713.3167856797129</v>
      </c>
      <c r="P294" s="618">
        <v>1713.3167856797129</v>
      </c>
      <c r="Q294" s="618">
        <v>1713.3167856797129</v>
      </c>
      <c r="R294" s="618">
        <v>1713.3167856796767</v>
      </c>
      <c r="S294" s="618">
        <v>1713.3167856796767</v>
      </c>
      <c r="T294" s="618">
        <v>1713.3167856796767</v>
      </c>
      <c r="U294" s="618">
        <v>1713.3167856796767</v>
      </c>
      <c r="V294" s="618">
        <v>1713.3167856796767</v>
      </c>
      <c r="W294" s="618">
        <v>1713.3167856796877</v>
      </c>
      <c r="X294" s="618">
        <v>1713.3167856796877</v>
      </c>
      <c r="Y294" s="618">
        <v>1713.3167856796877</v>
      </c>
      <c r="Z294" s="618">
        <v>1713.3167856796877</v>
      </c>
      <c r="AA294" s="618">
        <v>1713.3167856796877</v>
      </c>
      <c r="AB294" s="308">
        <v>1713.3167856796817</v>
      </c>
      <c r="AC294" s="309"/>
      <c r="AD294" s="309"/>
      <c r="AE294" s="309"/>
      <c r="AF294" s="309"/>
      <c r="AG294" s="309"/>
      <c r="AH294" s="309"/>
      <c r="AI294" s="309"/>
      <c r="AJ294" s="309"/>
      <c r="AK294" s="309"/>
      <c r="AL294" s="309"/>
      <c r="AM294" s="309"/>
      <c r="AN294" s="309"/>
      <c r="AO294" s="309"/>
      <c r="AP294" s="163"/>
    </row>
    <row r="295" spans="2:42" x14ac:dyDescent="0.3">
      <c r="B295" s="6"/>
      <c r="C295" s="6"/>
      <c r="D295" s="6">
        <f t="shared" si="20"/>
        <v>7</v>
      </c>
      <c r="E295" s="642" t="str">
        <f t="shared" si="22"/>
        <v>Avg Generation Capacity</v>
      </c>
      <c r="F295" s="303"/>
      <c r="G295" s="303"/>
      <c r="H295" s="313"/>
      <c r="I295" s="308">
        <v>1.7021485843804787</v>
      </c>
      <c r="J295" s="308">
        <v>1.0973867468589589</v>
      </c>
      <c r="K295" s="308">
        <v>1.770144259498831</v>
      </c>
      <c r="L295" s="308">
        <v>1.4964662563295035</v>
      </c>
      <c r="M295" s="308">
        <v>1.7831460934001222</v>
      </c>
      <c r="N295" s="308">
        <v>1.7640269571928</v>
      </c>
      <c r="O295" s="308">
        <v>1.7449078209854778</v>
      </c>
      <c r="P295" s="308">
        <v>1.7257886847781556</v>
      </c>
      <c r="Q295" s="308">
        <v>1.7066695485708334</v>
      </c>
      <c r="R295" s="308">
        <v>1.687550412363511</v>
      </c>
      <c r="S295" s="308">
        <v>2.0661424465171425</v>
      </c>
      <c r="T295" s="308">
        <v>2.4447344806707738</v>
      </c>
      <c r="U295" s="308">
        <v>2.8233265148244051</v>
      </c>
      <c r="V295" s="308">
        <v>3.2019185489780364</v>
      </c>
      <c r="W295" s="308">
        <v>3.5805105831316681</v>
      </c>
      <c r="X295" s="308">
        <v>2.9631941641931476</v>
      </c>
      <c r="Y295" s="308">
        <v>2.3458777452546276</v>
      </c>
      <c r="Z295" s="308">
        <v>1.7285613263161073</v>
      </c>
      <c r="AA295" s="308">
        <v>1.111244907377587</v>
      </c>
      <c r="AB295" s="308">
        <v>0.49392848843906689</v>
      </c>
      <c r="AC295" s="309"/>
      <c r="AD295" s="309"/>
      <c r="AE295" s="309"/>
      <c r="AF295" s="309"/>
      <c r="AG295" s="309"/>
      <c r="AH295" s="309"/>
      <c r="AI295" s="309"/>
      <c r="AJ295" s="309"/>
      <c r="AK295" s="309"/>
      <c r="AL295" s="309"/>
      <c r="AM295" s="309"/>
      <c r="AN295" s="309"/>
      <c r="AO295" s="309"/>
      <c r="AP295" s="163"/>
    </row>
    <row r="296" spans="2:42" x14ac:dyDescent="0.3">
      <c r="B296" s="6"/>
      <c r="C296" s="6"/>
      <c r="D296" s="6">
        <f t="shared" si="20"/>
        <v>7</v>
      </c>
      <c r="E296" s="642" t="str">
        <f t="shared" si="22"/>
        <v>Avg Transmission Capacity</v>
      </c>
      <c r="F296" s="303"/>
      <c r="G296" s="303"/>
      <c r="H296" s="313"/>
      <c r="I296" s="308">
        <v>1.7021485843804787</v>
      </c>
      <c r="J296" s="308">
        <v>1.0973867468589589</v>
      </c>
      <c r="K296" s="308">
        <v>1.770144259498831</v>
      </c>
      <c r="L296" s="308">
        <v>1.4964662563295035</v>
      </c>
      <c r="M296" s="308">
        <v>1.7831460934001222</v>
      </c>
      <c r="N296" s="308">
        <v>1.7640269571928</v>
      </c>
      <c r="O296" s="308">
        <v>1.7449078209854778</v>
      </c>
      <c r="P296" s="308">
        <v>1.7257886847781556</v>
      </c>
      <c r="Q296" s="308">
        <v>1.7066695485708334</v>
      </c>
      <c r="R296" s="308">
        <v>1.687550412363511</v>
      </c>
      <c r="S296" s="308">
        <v>2.0661424465171425</v>
      </c>
      <c r="T296" s="308">
        <v>2.4447344806707738</v>
      </c>
      <c r="U296" s="308">
        <v>2.8233265148244051</v>
      </c>
      <c r="V296" s="308">
        <v>3.2019185489780364</v>
      </c>
      <c r="W296" s="308">
        <v>3.5805105831316681</v>
      </c>
      <c r="X296" s="308">
        <v>3.7325593547035281</v>
      </c>
      <c r="Y296" s="308">
        <v>3.884608126275388</v>
      </c>
      <c r="Z296" s="308">
        <v>4.0366568978472479</v>
      </c>
      <c r="AA296" s="308">
        <v>4.1887056694191083</v>
      </c>
      <c r="AB296" s="308">
        <v>4.3407544409909686</v>
      </c>
      <c r="AC296" s="309"/>
      <c r="AD296" s="309"/>
      <c r="AE296" s="309"/>
      <c r="AF296" s="309"/>
      <c r="AG296" s="309"/>
      <c r="AH296" s="309"/>
      <c r="AI296" s="309"/>
      <c r="AJ296" s="309"/>
      <c r="AK296" s="309"/>
      <c r="AL296" s="309"/>
      <c r="AM296" s="309"/>
      <c r="AN296" s="309"/>
      <c r="AO296" s="309"/>
      <c r="AP296" s="163"/>
    </row>
    <row r="297" spans="2:42" x14ac:dyDescent="0.3">
      <c r="B297" s="6"/>
      <c r="C297" s="6"/>
      <c r="D297" s="6">
        <f t="shared" si="20"/>
        <v>7</v>
      </c>
      <c r="E297" s="642" t="str">
        <f t="shared" si="22"/>
        <v>Avg Distribution Capacity</v>
      </c>
      <c r="F297" s="303"/>
      <c r="G297" s="303"/>
      <c r="H297" s="313"/>
      <c r="I297" s="308">
        <v>4.6618870690648535</v>
      </c>
      <c r="J297" s="308">
        <v>2.9184984792042274</v>
      </c>
      <c r="K297" s="308">
        <v>3.6046307553245347</v>
      </c>
      <c r="L297" s="618">
        <v>2.707215225401971</v>
      </c>
      <c r="M297" s="618">
        <v>3.4622530326536629</v>
      </c>
      <c r="N297" s="618">
        <v>3.3532441196160483</v>
      </c>
      <c r="O297" s="618">
        <v>3.2442352065784337</v>
      </c>
      <c r="P297" s="618">
        <v>3.1352262935408191</v>
      </c>
      <c r="Q297" s="618">
        <v>3.0262173805032044</v>
      </c>
      <c r="R297" s="618">
        <v>2.9172084674655894</v>
      </c>
      <c r="S297" s="618">
        <v>3.2874267361819189</v>
      </c>
      <c r="T297" s="618">
        <v>3.6576450048982485</v>
      </c>
      <c r="U297" s="618">
        <v>4.0278632736145781</v>
      </c>
      <c r="V297" s="618">
        <v>4.3980815423309076</v>
      </c>
      <c r="W297" s="618">
        <v>4.7682998110472381</v>
      </c>
      <c r="X297" s="618">
        <v>4.682790737035984</v>
      </c>
      <c r="Y297" s="618">
        <v>4.59728166302473</v>
      </c>
      <c r="Z297" s="618">
        <v>4.5117725890134759</v>
      </c>
      <c r="AA297" s="618">
        <v>4.4262635150022218</v>
      </c>
      <c r="AB297" s="308">
        <v>4.3407544409909686</v>
      </c>
      <c r="AC297" s="309"/>
      <c r="AD297" s="309"/>
      <c r="AE297" s="309"/>
      <c r="AF297" s="309"/>
      <c r="AG297" s="309"/>
      <c r="AH297" s="309"/>
      <c r="AI297" s="309"/>
      <c r="AJ297" s="309"/>
      <c r="AK297" s="309"/>
      <c r="AL297" s="309"/>
      <c r="AM297" s="309"/>
      <c r="AN297" s="309"/>
      <c r="AO297" s="309"/>
      <c r="AP297" s="163"/>
    </row>
    <row r="298" spans="2:42" x14ac:dyDescent="0.3">
      <c r="B298" s="6"/>
      <c r="C298" s="6"/>
      <c r="D298" s="6">
        <f t="shared" si="20"/>
        <v>7</v>
      </c>
      <c r="E298" s="642" t="str">
        <f t="shared" si="22"/>
        <v>GHG Impacts</v>
      </c>
      <c r="F298" s="303"/>
      <c r="G298" s="303"/>
      <c r="H298" s="313"/>
      <c r="I298" s="308">
        <v>1712.9687004087136</v>
      </c>
      <c r="J298" s="308">
        <v>1710.7302107653743</v>
      </c>
      <c r="K298" s="308">
        <v>1699.7492273920332</v>
      </c>
      <c r="L298" s="618">
        <v>1681.4580394459383</v>
      </c>
      <c r="M298" s="618">
        <v>1610.1293732875995</v>
      </c>
      <c r="N298" s="618">
        <v>1486.395678086604</v>
      </c>
      <c r="O298" s="618">
        <v>1362.6619828856085</v>
      </c>
      <c r="P298" s="618">
        <v>1238.928287684613</v>
      </c>
      <c r="Q298" s="618">
        <v>1115.1945924836175</v>
      </c>
      <c r="R298" s="618">
        <v>991.46089728262211</v>
      </c>
      <c r="S298" s="618">
        <v>916.40642778350559</v>
      </c>
      <c r="T298" s="618">
        <v>841.35195828438907</v>
      </c>
      <c r="U298" s="618">
        <v>766.29748878527255</v>
      </c>
      <c r="V298" s="618">
        <v>691.24301928615603</v>
      </c>
      <c r="W298" s="618">
        <v>616.18854978703962</v>
      </c>
      <c r="X298" s="618">
        <v>558.24576526925989</v>
      </c>
      <c r="Y298" s="618">
        <v>500.30298075148011</v>
      </c>
      <c r="Z298" s="618">
        <v>442.36019623370032</v>
      </c>
      <c r="AA298" s="618">
        <v>384.41741171592054</v>
      </c>
      <c r="AB298" s="308">
        <v>326.47462719814075</v>
      </c>
      <c r="AC298" s="309"/>
      <c r="AD298" s="309"/>
      <c r="AE298" s="309"/>
      <c r="AF298" s="309"/>
      <c r="AG298" s="309"/>
      <c r="AH298" s="309"/>
      <c r="AI298" s="309"/>
      <c r="AJ298" s="309"/>
      <c r="AK298" s="309"/>
      <c r="AL298" s="309"/>
      <c r="AM298" s="309"/>
      <c r="AN298" s="309"/>
      <c r="AO298" s="309"/>
      <c r="AP298" s="163"/>
    </row>
    <row r="299" spans="2:42" x14ac:dyDescent="0.3">
      <c r="B299" s="6"/>
      <c r="C299" s="6"/>
      <c r="D299" s="6">
        <f t="shared" si="20"/>
        <v>7</v>
      </c>
      <c r="E299" s="642" t="str">
        <f t="shared" si="22"/>
        <v>Market Price Effects - Wholesale Energy</v>
      </c>
      <c r="F299" s="303"/>
      <c r="G299" s="303"/>
      <c r="H299" s="313"/>
      <c r="I299" s="308">
        <v>1713.316785679694</v>
      </c>
      <c r="J299" s="308">
        <v>1713.3167856796751</v>
      </c>
      <c r="K299" s="308">
        <v>1713.3167856796454</v>
      </c>
      <c r="L299" s="618">
        <v>1713.3167856796672</v>
      </c>
      <c r="M299" s="618">
        <v>1713.316785679712</v>
      </c>
      <c r="N299" s="618">
        <v>1713.3167856797049</v>
      </c>
      <c r="O299" s="618">
        <v>1713.3167856796979</v>
      </c>
      <c r="P299" s="618">
        <v>1713.3167856796908</v>
      </c>
      <c r="Q299" s="618">
        <v>1713.3167856796838</v>
      </c>
      <c r="R299" s="618">
        <v>1713.3167856796767</v>
      </c>
      <c r="S299" s="618">
        <v>1713.3167856796783</v>
      </c>
      <c r="T299" s="618">
        <v>1713.3167856796799</v>
      </c>
      <c r="U299" s="618">
        <v>1713.3167856796815</v>
      </c>
      <c r="V299" s="618">
        <v>1713.3167856796831</v>
      </c>
      <c r="W299" s="618">
        <v>1713.3167856796849</v>
      </c>
      <c r="X299" s="618">
        <v>1713.316785679684</v>
      </c>
      <c r="Y299" s="618">
        <v>1713.3167856796831</v>
      </c>
      <c r="Z299" s="618">
        <v>1713.3167856796822</v>
      </c>
      <c r="AA299" s="618">
        <v>1713.3167856796813</v>
      </c>
      <c r="AB299" s="308">
        <v>1713.3167856796799</v>
      </c>
      <c r="AC299" s="309"/>
      <c r="AD299" s="309"/>
      <c r="AE299" s="309"/>
      <c r="AF299" s="309"/>
      <c r="AG299" s="309"/>
      <c r="AH299" s="309"/>
      <c r="AI299" s="309"/>
      <c r="AJ299" s="309"/>
      <c r="AK299" s="309"/>
      <c r="AL299" s="309"/>
      <c r="AM299" s="309"/>
      <c r="AN299" s="309"/>
      <c r="AO299" s="309"/>
      <c r="AP299" s="163"/>
    </row>
    <row r="300" spans="2:42" x14ac:dyDescent="0.3">
      <c r="B300" s="6"/>
      <c r="C300" s="6"/>
      <c r="D300" s="6">
        <f t="shared" si="20"/>
        <v>7</v>
      </c>
      <c r="E300" s="643" t="str">
        <f t="shared" si="22"/>
        <v>Market Price Effects - Wholesale Capacity</v>
      </c>
      <c r="F300" s="303"/>
      <c r="H300" s="217"/>
      <c r="I300" s="308">
        <v>0</v>
      </c>
      <c r="J300" s="308">
        <v>0</v>
      </c>
      <c r="K300" s="308">
        <v>0</v>
      </c>
      <c r="L300" s="618">
        <v>0</v>
      </c>
      <c r="M300" s="618">
        <v>0</v>
      </c>
      <c r="N300" s="618">
        <v>0</v>
      </c>
      <c r="O300" s="618">
        <v>0</v>
      </c>
      <c r="P300" s="618">
        <v>0</v>
      </c>
      <c r="Q300" s="618">
        <v>0</v>
      </c>
      <c r="R300" s="618">
        <v>0</v>
      </c>
      <c r="S300" s="618">
        <v>0</v>
      </c>
      <c r="T300" s="618">
        <v>0</v>
      </c>
      <c r="U300" s="618">
        <v>0</v>
      </c>
      <c r="V300" s="618">
        <v>0</v>
      </c>
      <c r="W300" s="618">
        <v>0</v>
      </c>
      <c r="X300" s="618">
        <v>0</v>
      </c>
      <c r="Y300" s="618">
        <v>0</v>
      </c>
      <c r="Z300" s="618">
        <v>0</v>
      </c>
      <c r="AA300" s="618">
        <v>0</v>
      </c>
      <c r="AB300" s="308">
        <v>0</v>
      </c>
      <c r="AC300" s="309"/>
      <c r="AD300" s="309"/>
      <c r="AE300" s="309"/>
      <c r="AF300" s="309"/>
      <c r="AG300" s="309"/>
      <c r="AH300" s="309"/>
      <c r="AI300" s="309"/>
      <c r="AJ300" s="309"/>
      <c r="AK300" s="309"/>
      <c r="AL300" s="309"/>
      <c r="AM300" s="309"/>
      <c r="AN300" s="309"/>
      <c r="AO300" s="309"/>
      <c r="AP300" s="163"/>
    </row>
    <row r="301" spans="2:42" x14ac:dyDescent="0.3">
      <c r="B301" s="6"/>
      <c r="C301" s="6"/>
      <c r="D301" s="6">
        <f t="shared" si="20"/>
        <v>7</v>
      </c>
      <c r="E301" s="640" t="str">
        <f t="shared" si="22"/>
        <v>Disharge MWh</v>
      </c>
      <c r="H301" s="217"/>
      <c r="I301" s="505"/>
      <c r="J301" s="505"/>
      <c r="K301" s="505"/>
      <c r="L301" s="505"/>
      <c r="M301" s="505"/>
      <c r="N301" s="505"/>
      <c r="O301" s="505"/>
      <c r="P301" s="505"/>
      <c r="Q301" s="505"/>
      <c r="R301" s="505"/>
      <c r="S301" s="505"/>
      <c r="T301" s="505"/>
      <c r="U301" s="505"/>
      <c r="V301" s="505"/>
      <c r="W301" s="505"/>
      <c r="X301" s="505"/>
      <c r="Y301" s="505"/>
      <c r="Z301" s="505"/>
      <c r="AA301" s="505"/>
      <c r="AB301" s="505"/>
      <c r="AC301" s="15"/>
      <c r="AD301" s="15"/>
      <c r="AE301" s="15"/>
      <c r="AF301" s="15"/>
      <c r="AG301" s="15"/>
      <c r="AH301" s="15"/>
      <c r="AI301" s="15"/>
      <c r="AJ301" s="15"/>
      <c r="AK301" s="15"/>
      <c r="AL301" s="15"/>
      <c r="AM301" s="15"/>
      <c r="AN301" s="15"/>
      <c r="AO301" s="15"/>
      <c r="AP301" s="163"/>
    </row>
    <row r="302" spans="2:42" x14ac:dyDescent="0.3">
      <c r="B302" s="6"/>
      <c r="C302" s="6"/>
      <c r="D302" s="6">
        <f t="shared" si="20"/>
        <v>7</v>
      </c>
      <c r="E302" s="641" t="str">
        <f t="shared" si="22"/>
        <v>Total ESS DCharge MWh</v>
      </c>
      <c r="H302" s="217"/>
      <c r="I302" s="308">
        <v>1460.0000000000109</v>
      </c>
      <c r="J302" s="308">
        <v>1459.9999999999939</v>
      </c>
      <c r="K302" s="308">
        <v>1459.9999999999729</v>
      </c>
      <c r="L302" s="618">
        <v>1459.9999999999884</v>
      </c>
      <c r="M302" s="618">
        <v>1460.0000000000241</v>
      </c>
      <c r="N302" s="618">
        <v>1460.0000000000241</v>
      </c>
      <c r="O302" s="618">
        <v>1460.0000000000241</v>
      </c>
      <c r="P302" s="618">
        <v>1460.0000000000241</v>
      </c>
      <c r="Q302" s="618">
        <v>1460.0000000000241</v>
      </c>
      <c r="R302" s="618">
        <v>1459.999999999993</v>
      </c>
      <c r="S302" s="618">
        <v>1459.999999999993</v>
      </c>
      <c r="T302" s="618">
        <v>1459.999999999993</v>
      </c>
      <c r="U302" s="618">
        <v>1459.999999999993</v>
      </c>
      <c r="V302" s="618">
        <v>1459.999999999993</v>
      </c>
      <c r="W302" s="618">
        <v>1460.000000000002</v>
      </c>
      <c r="X302" s="618">
        <v>1460.000000000002</v>
      </c>
      <c r="Y302" s="618">
        <v>1460.000000000002</v>
      </c>
      <c r="Z302" s="618">
        <v>1460.000000000002</v>
      </c>
      <c r="AA302" s="618">
        <v>1460.000000000002</v>
      </c>
      <c r="AB302" s="308">
        <v>1459.9999999999975</v>
      </c>
      <c r="AC302" s="309"/>
      <c r="AD302" s="309"/>
      <c r="AE302" s="309"/>
      <c r="AF302" s="309"/>
      <c r="AG302" s="309"/>
      <c r="AH302" s="309"/>
      <c r="AI302" s="309"/>
      <c r="AJ302" s="309"/>
      <c r="AK302" s="309"/>
      <c r="AL302" s="309"/>
      <c r="AM302" s="309"/>
      <c r="AN302" s="309"/>
      <c r="AO302" s="309"/>
      <c r="AP302" s="163"/>
    </row>
    <row r="303" spans="2:42" x14ac:dyDescent="0.3">
      <c r="B303" s="6"/>
      <c r="C303" s="6"/>
      <c r="D303" s="6">
        <f t="shared" si="20"/>
        <v>7</v>
      </c>
      <c r="E303" s="642" t="str">
        <f t="shared" si="22"/>
        <v>Avg Generation Capacity</v>
      </c>
      <c r="F303" s="303"/>
      <c r="H303" s="217"/>
      <c r="I303" s="308">
        <v>50.398013898861691</v>
      </c>
      <c r="J303" s="308">
        <v>49.334112592703512</v>
      </c>
      <c r="K303" s="308">
        <v>47.412260224143445</v>
      </c>
      <c r="L303" s="618">
        <v>51.24</v>
      </c>
      <c r="M303" s="618">
        <v>60.406236361558982</v>
      </c>
      <c r="N303" s="618">
        <v>63.23426866031771</v>
      </c>
      <c r="O303" s="618">
        <v>66.062300959076438</v>
      </c>
      <c r="P303" s="618">
        <v>68.890333257835167</v>
      </c>
      <c r="Q303" s="618">
        <v>71.718365556593895</v>
      </c>
      <c r="R303" s="618">
        <v>74.546397855352623</v>
      </c>
      <c r="S303" s="618">
        <v>76.393978984132616</v>
      </c>
      <c r="T303" s="618">
        <v>78.241560112912609</v>
      </c>
      <c r="U303" s="618">
        <v>80.089141241692602</v>
      </c>
      <c r="V303" s="618">
        <v>81.936722370472594</v>
      </c>
      <c r="W303" s="618">
        <v>83.784303499252587</v>
      </c>
      <c r="X303" s="618">
        <v>84.427478904163962</v>
      </c>
      <c r="Y303" s="618">
        <v>85.070654309075337</v>
      </c>
      <c r="Z303" s="618">
        <v>85.713829713986712</v>
      </c>
      <c r="AA303" s="618">
        <v>86.357005118898087</v>
      </c>
      <c r="AB303" s="308">
        <v>87.000180523809476</v>
      </c>
      <c r="AC303" s="309"/>
      <c r="AD303" s="309"/>
      <c r="AE303" s="309"/>
      <c r="AF303" s="309"/>
      <c r="AG303" s="309"/>
      <c r="AH303" s="309"/>
      <c r="AI303" s="309"/>
      <c r="AJ303" s="309"/>
      <c r="AK303" s="309"/>
      <c r="AL303" s="309"/>
      <c r="AM303" s="309"/>
      <c r="AN303" s="309"/>
      <c r="AO303" s="309"/>
      <c r="AP303" s="163"/>
    </row>
    <row r="304" spans="2:42" x14ac:dyDescent="0.3">
      <c r="B304" s="6"/>
      <c r="C304" s="6"/>
      <c r="D304" s="6">
        <f t="shared" si="20"/>
        <v>7</v>
      </c>
      <c r="E304" s="642" t="str">
        <f t="shared" si="22"/>
        <v>Avg Transmission Capacity</v>
      </c>
      <c r="F304" s="303"/>
      <c r="H304" s="217"/>
      <c r="I304" s="308">
        <v>50.398013898861691</v>
      </c>
      <c r="J304" s="308">
        <v>49.334112592703512</v>
      </c>
      <c r="K304" s="308">
        <v>47.412260224143445</v>
      </c>
      <c r="L304" s="618">
        <v>51.24</v>
      </c>
      <c r="M304" s="618">
        <v>60.406236361558982</v>
      </c>
      <c r="N304" s="618">
        <v>63.23426866031771</v>
      </c>
      <c r="O304" s="618">
        <v>66.062300959076438</v>
      </c>
      <c r="P304" s="618">
        <v>68.890333257835167</v>
      </c>
      <c r="Q304" s="618">
        <v>71.718365556593895</v>
      </c>
      <c r="R304" s="618">
        <v>74.546397855352623</v>
      </c>
      <c r="S304" s="618">
        <v>76.393978984132616</v>
      </c>
      <c r="T304" s="618">
        <v>78.241560112912609</v>
      </c>
      <c r="U304" s="618">
        <v>80.089141241692602</v>
      </c>
      <c r="V304" s="618">
        <v>81.936722370472594</v>
      </c>
      <c r="W304" s="618">
        <v>83.784303499252587</v>
      </c>
      <c r="X304" s="618">
        <v>84.427478904163962</v>
      </c>
      <c r="Y304" s="618">
        <v>85.070654309075337</v>
      </c>
      <c r="Z304" s="618">
        <v>85.713829713986712</v>
      </c>
      <c r="AA304" s="618">
        <v>86.357005118898087</v>
      </c>
      <c r="AB304" s="308">
        <v>87.000180523809476</v>
      </c>
      <c r="AC304" s="309"/>
      <c r="AD304" s="309"/>
      <c r="AE304" s="309"/>
      <c r="AF304" s="309"/>
      <c r="AG304" s="309"/>
      <c r="AH304" s="309"/>
      <c r="AI304" s="309"/>
      <c r="AJ304" s="309"/>
      <c r="AK304" s="309"/>
      <c r="AL304" s="309"/>
      <c r="AM304" s="309"/>
      <c r="AN304" s="309"/>
      <c r="AO304" s="309"/>
      <c r="AP304" s="163"/>
    </row>
    <row r="305" spans="2:42" x14ac:dyDescent="0.3">
      <c r="B305" s="6"/>
      <c r="C305" s="6"/>
      <c r="D305" s="6">
        <f t="shared" si="20"/>
        <v>7</v>
      </c>
      <c r="E305" s="642" t="str">
        <f t="shared" si="22"/>
        <v>Avg Distribution Capacity</v>
      </c>
      <c r="F305" s="303"/>
      <c r="H305" s="217"/>
      <c r="I305" s="308">
        <v>30.627664674558662</v>
      </c>
      <c r="J305" s="308">
        <v>34.681553822877177</v>
      </c>
      <c r="K305" s="308">
        <v>36.44683034828472</v>
      </c>
      <c r="L305" s="618">
        <v>39.65</v>
      </c>
      <c r="M305" s="618">
        <v>58.186036377060937</v>
      </c>
      <c r="N305" s="618">
        <v>60.44468483378445</v>
      </c>
      <c r="O305" s="618">
        <v>62.703333290507963</v>
      </c>
      <c r="P305" s="618">
        <v>64.961981747231476</v>
      </c>
      <c r="Q305" s="618">
        <v>67.220630203954983</v>
      </c>
      <c r="R305" s="618">
        <v>69.479278660678503</v>
      </c>
      <c r="S305" s="618">
        <v>71.238308230619609</v>
      </c>
      <c r="T305" s="618">
        <v>72.997337800560715</v>
      </c>
      <c r="U305" s="618">
        <v>74.75636737050182</v>
      </c>
      <c r="V305" s="618">
        <v>76.515396940442926</v>
      </c>
      <c r="W305" s="618">
        <v>78.27442651038406</v>
      </c>
      <c r="X305" s="618">
        <v>79.201915638844142</v>
      </c>
      <c r="Y305" s="618">
        <v>80.129404767304223</v>
      </c>
      <c r="Z305" s="618">
        <v>81.056893895764304</v>
      </c>
      <c r="AA305" s="618">
        <v>81.984383024224385</v>
      </c>
      <c r="AB305" s="308">
        <v>82.911872152684452</v>
      </c>
      <c r="AC305" s="309"/>
      <c r="AD305" s="309"/>
      <c r="AE305" s="309"/>
      <c r="AF305" s="309"/>
      <c r="AG305" s="309"/>
      <c r="AH305" s="309"/>
      <c r="AI305" s="309"/>
      <c r="AJ305" s="309"/>
      <c r="AK305" s="309"/>
      <c r="AL305" s="309"/>
      <c r="AM305" s="309"/>
      <c r="AN305" s="309"/>
      <c r="AO305" s="309"/>
      <c r="AP305" s="163"/>
    </row>
    <row r="306" spans="2:42" x14ac:dyDescent="0.3">
      <c r="B306" s="6"/>
      <c r="C306" s="6"/>
      <c r="D306" s="6">
        <f t="shared" si="20"/>
        <v>7</v>
      </c>
      <c r="E306" s="642" t="str">
        <f t="shared" si="22"/>
        <v>GHG Impacts</v>
      </c>
      <c r="F306" s="303"/>
      <c r="H306" s="217"/>
      <c r="I306" s="308">
        <v>1459.8558129331236</v>
      </c>
      <c r="J306" s="308">
        <v>1459.8289580454637</v>
      </c>
      <c r="K306" s="308">
        <v>1455.9388363413616</v>
      </c>
      <c r="L306" s="618">
        <v>1452.3948066555861</v>
      </c>
      <c r="M306" s="618">
        <v>1448.4200691201311</v>
      </c>
      <c r="N306" s="618">
        <v>1444.266018398517</v>
      </c>
      <c r="O306" s="618">
        <v>1440.1119676769029</v>
      </c>
      <c r="P306" s="618">
        <v>1435.9579169552887</v>
      </c>
      <c r="Q306" s="618">
        <v>1431.8038662336746</v>
      </c>
      <c r="R306" s="618">
        <v>1427.6498155120605</v>
      </c>
      <c r="S306" s="618">
        <v>1428.4937751617156</v>
      </c>
      <c r="T306" s="618">
        <v>1429.3377348113706</v>
      </c>
      <c r="U306" s="618">
        <v>1430.1816944610257</v>
      </c>
      <c r="V306" s="618">
        <v>1431.0256541106808</v>
      </c>
      <c r="W306" s="618">
        <v>1431.8696137603361</v>
      </c>
      <c r="X306" s="618">
        <v>1431.7818987601731</v>
      </c>
      <c r="Y306" s="618">
        <v>1431.6941837600102</v>
      </c>
      <c r="Z306" s="618">
        <v>1431.6064687598473</v>
      </c>
      <c r="AA306" s="618">
        <v>1431.5187537596844</v>
      </c>
      <c r="AB306" s="308">
        <v>1431.4310387595217</v>
      </c>
      <c r="AC306" s="309"/>
      <c r="AD306" s="309"/>
      <c r="AE306" s="309"/>
      <c r="AF306" s="309"/>
      <c r="AG306" s="309"/>
      <c r="AH306" s="309"/>
      <c r="AI306" s="309"/>
      <c r="AJ306" s="309"/>
      <c r="AK306" s="309"/>
      <c r="AL306" s="309"/>
      <c r="AM306" s="309"/>
      <c r="AN306" s="309"/>
      <c r="AO306" s="309"/>
      <c r="AP306" s="163"/>
    </row>
    <row r="307" spans="2:42" x14ac:dyDescent="0.3">
      <c r="B307" s="6"/>
      <c r="C307" s="6"/>
      <c r="D307" s="6">
        <f t="shared" si="20"/>
        <v>7</v>
      </c>
      <c r="E307" s="642" t="str">
        <f t="shared" si="22"/>
        <v>Market Price Effects - Wholesale Energy</v>
      </c>
      <c r="F307" s="303"/>
      <c r="H307" s="217"/>
      <c r="I307" s="308">
        <v>1459.999999999995</v>
      </c>
      <c r="J307" s="308">
        <v>1460.0000000000027</v>
      </c>
      <c r="K307" s="308">
        <v>1459.9999999999688</v>
      </c>
      <c r="L307" s="618">
        <v>1459.9999999999989</v>
      </c>
      <c r="M307" s="618">
        <v>1460.000000000018</v>
      </c>
      <c r="N307" s="618">
        <v>1460.0000000000161</v>
      </c>
      <c r="O307" s="618">
        <v>1460.0000000000143</v>
      </c>
      <c r="P307" s="618">
        <v>1460.0000000000125</v>
      </c>
      <c r="Q307" s="618">
        <v>1460.0000000000107</v>
      </c>
      <c r="R307" s="618">
        <v>1460.0000000000093</v>
      </c>
      <c r="S307" s="618">
        <v>1460.0000000000098</v>
      </c>
      <c r="T307" s="618">
        <v>1460.0000000000102</v>
      </c>
      <c r="U307" s="618">
        <v>1460.0000000000107</v>
      </c>
      <c r="V307" s="618">
        <v>1460.0000000000111</v>
      </c>
      <c r="W307" s="618">
        <v>1460.0000000000116</v>
      </c>
      <c r="X307" s="618">
        <v>1460.0000000000109</v>
      </c>
      <c r="Y307" s="618">
        <v>1460.0000000000102</v>
      </c>
      <c r="Z307" s="618">
        <v>1460.0000000000095</v>
      </c>
      <c r="AA307" s="618">
        <v>1460.0000000000089</v>
      </c>
      <c r="AB307" s="308">
        <v>1460.000000000008</v>
      </c>
      <c r="AC307" s="309"/>
      <c r="AD307" s="309"/>
      <c r="AE307" s="309"/>
      <c r="AF307" s="309"/>
      <c r="AG307" s="309"/>
      <c r="AH307" s="309"/>
      <c r="AI307" s="309"/>
      <c r="AJ307" s="309"/>
      <c r="AK307" s="309"/>
      <c r="AL307" s="309"/>
      <c r="AM307" s="309"/>
      <c r="AN307" s="309"/>
      <c r="AO307" s="309"/>
      <c r="AP307" s="163"/>
    </row>
    <row r="308" spans="2:42" x14ac:dyDescent="0.3">
      <c r="B308" s="6"/>
      <c r="C308" s="6"/>
      <c r="D308" s="6">
        <f t="shared" si="20"/>
        <v>7</v>
      </c>
      <c r="E308" s="642" t="str">
        <f t="shared" si="22"/>
        <v>Market Price Effects - Wholesale Capacity</v>
      </c>
      <c r="F308" s="303"/>
      <c r="H308" s="217"/>
      <c r="I308" s="308">
        <v>0</v>
      </c>
      <c r="J308" s="308">
        <v>0</v>
      </c>
      <c r="K308" s="308">
        <v>0</v>
      </c>
      <c r="L308" s="618">
        <v>0</v>
      </c>
      <c r="M308" s="618">
        <v>0</v>
      </c>
      <c r="N308" s="618">
        <v>0</v>
      </c>
      <c r="O308" s="618">
        <v>0</v>
      </c>
      <c r="P308" s="618">
        <v>0</v>
      </c>
      <c r="Q308" s="618">
        <v>0</v>
      </c>
      <c r="R308" s="618">
        <v>0</v>
      </c>
      <c r="S308" s="618">
        <v>0</v>
      </c>
      <c r="T308" s="618">
        <v>0</v>
      </c>
      <c r="U308" s="618">
        <v>0</v>
      </c>
      <c r="V308" s="618">
        <v>0</v>
      </c>
      <c r="W308" s="618">
        <v>0</v>
      </c>
      <c r="X308" s="618">
        <v>0</v>
      </c>
      <c r="Y308" s="618">
        <v>0</v>
      </c>
      <c r="Z308" s="618">
        <v>0</v>
      </c>
      <c r="AA308" s="618">
        <v>0</v>
      </c>
      <c r="AB308" s="308">
        <v>0</v>
      </c>
      <c r="AC308" s="309"/>
      <c r="AD308" s="309"/>
      <c r="AE308" s="309"/>
      <c r="AF308" s="309"/>
      <c r="AG308" s="309"/>
      <c r="AH308" s="309"/>
      <c r="AI308" s="309"/>
      <c r="AJ308" s="309"/>
      <c r="AK308" s="309"/>
      <c r="AL308" s="309"/>
      <c r="AM308" s="309"/>
      <c r="AN308" s="309"/>
      <c r="AO308" s="309"/>
      <c r="AP308" s="163"/>
    </row>
    <row r="309" spans="2:42" x14ac:dyDescent="0.3">
      <c r="B309" s="6"/>
      <c r="C309" s="6"/>
      <c r="D309" s="6">
        <f t="shared" si="20"/>
        <v>7</v>
      </c>
      <c r="E309" s="544"/>
      <c r="F309" s="545"/>
      <c r="G309" s="545"/>
      <c r="H309" s="545"/>
      <c r="I309" s="545"/>
      <c r="J309" s="545"/>
      <c r="K309" s="545"/>
      <c r="L309" s="545"/>
      <c r="M309" s="545"/>
      <c r="N309" s="545"/>
      <c r="O309" s="545"/>
      <c r="P309" s="545"/>
      <c r="Q309" s="545"/>
      <c r="R309" s="545"/>
      <c r="S309" s="545"/>
      <c r="T309" s="545"/>
      <c r="U309" s="545"/>
      <c r="V309" s="545"/>
      <c r="W309" s="545"/>
      <c r="X309" s="545"/>
      <c r="Y309" s="545"/>
      <c r="Z309" s="545"/>
      <c r="AA309" s="545"/>
      <c r="AB309" s="545"/>
      <c r="AC309" s="545"/>
      <c r="AD309" s="545"/>
      <c r="AE309" s="545"/>
      <c r="AF309" s="545"/>
      <c r="AG309" s="545"/>
      <c r="AH309" s="545"/>
      <c r="AI309" s="545"/>
      <c r="AJ309" s="545"/>
      <c r="AK309" s="545"/>
      <c r="AL309" s="545"/>
      <c r="AM309" s="545"/>
      <c r="AN309" s="545"/>
      <c r="AO309" s="545"/>
      <c r="AP309" s="543"/>
    </row>
    <row r="310" spans="2:42" ht="21" x14ac:dyDescent="0.4">
      <c r="B310" s="6"/>
      <c r="C310" s="6"/>
      <c r="D310" s="6">
        <f t="shared" si="20"/>
        <v>8</v>
      </c>
      <c r="E310" s="632" t="str">
        <f>_xlfn.CONCAT(revenueSimulationID," ",$D310,"|",INDEX(StdConfigDesc,$D310,$E$29))</f>
        <v>Case 8|C&amp;I - Large (2 MW / 8 MWh)</v>
      </c>
      <c r="F310" s="633"/>
      <c r="G310" s="633"/>
      <c r="H310" s="633"/>
      <c r="I310" s="633"/>
      <c r="J310" s="633"/>
      <c r="K310" s="633"/>
      <c r="L310" s="633"/>
      <c r="M310" s="633"/>
      <c r="N310" s="633"/>
      <c r="O310" s="633"/>
      <c r="P310" s="633"/>
      <c r="Q310" s="633"/>
      <c r="R310" s="633"/>
      <c r="S310" s="633"/>
      <c r="T310" s="633"/>
      <c r="U310" s="633"/>
      <c r="V310" s="633"/>
      <c r="W310" s="633"/>
      <c r="X310" s="633"/>
      <c r="Y310" s="633"/>
      <c r="Z310" s="633"/>
      <c r="AA310" s="633"/>
      <c r="AB310" s="633"/>
      <c r="AC310" s="633"/>
      <c r="AD310" s="633"/>
      <c r="AE310" s="633"/>
      <c r="AF310" s="633"/>
      <c r="AG310" s="633"/>
      <c r="AH310" s="633"/>
      <c r="AI310" s="633"/>
      <c r="AJ310" s="633"/>
      <c r="AK310" s="633"/>
      <c r="AL310" s="633"/>
      <c r="AM310" s="633"/>
      <c r="AN310" s="633"/>
      <c r="AO310" s="633"/>
      <c r="AP310" s="634"/>
    </row>
    <row r="311" spans="2:42" ht="25.8" x14ac:dyDescent="0.5">
      <c r="B311" s="6"/>
      <c r="C311" s="6"/>
      <c r="D311" s="6">
        <f t="shared" si="20"/>
        <v>8</v>
      </c>
      <c r="E311" s="635"/>
      <c r="F311" s="2">
        <v>2025</v>
      </c>
      <c r="G311" s="2">
        <f>F311+1</f>
        <v>2026</v>
      </c>
      <c r="H311" s="2">
        <f t="shared" ref="H311:AO311" si="23">G311+1</f>
        <v>2027</v>
      </c>
      <c r="I311" s="2">
        <f t="shared" si="23"/>
        <v>2028</v>
      </c>
      <c r="J311" s="2">
        <f t="shared" si="23"/>
        <v>2029</v>
      </c>
      <c r="K311" s="2">
        <f t="shared" si="23"/>
        <v>2030</v>
      </c>
      <c r="L311" s="2">
        <f t="shared" si="23"/>
        <v>2031</v>
      </c>
      <c r="M311" s="2">
        <f t="shared" si="23"/>
        <v>2032</v>
      </c>
      <c r="N311" s="2">
        <f t="shared" si="23"/>
        <v>2033</v>
      </c>
      <c r="O311" s="2">
        <f t="shared" si="23"/>
        <v>2034</v>
      </c>
      <c r="P311" s="2">
        <f t="shared" si="23"/>
        <v>2035</v>
      </c>
      <c r="Q311" s="2">
        <f t="shared" si="23"/>
        <v>2036</v>
      </c>
      <c r="R311" s="2">
        <f t="shared" si="23"/>
        <v>2037</v>
      </c>
      <c r="S311" s="2">
        <f t="shared" si="23"/>
        <v>2038</v>
      </c>
      <c r="T311" s="2">
        <f t="shared" si="23"/>
        <v>2039</v>
      </c>
      <c r="U311" s="2">
        <f t="shared" si="23"/>
        <v>2040</v>
      </c>
      <c r="V311" s="2">
        <f t="shared" si="23"/>
        <v>2041</v>
      </c>
      <c r="W311" s="2">
        <f t="shared" si="23"/>
        <v>2042</v>
      </c>
      <c r="X311" s="2">
        <f t="shared" si="23"/>
        <v>2043</v>
      </c>
      <c r="Y311" s="2">
        <f t="shared" si="23"/>
        <v>2044</v>
      </c>
      <c r="Z311" s="2">
        <f t="shared" si="23"/>
        <v>2045</v>
      </c>
      <c r="AA311" s="2">
        <f t="shared" si="23"/>
        <v>2046</v>
      </c>
      <c r="AB311" s="2">
        <f t="shared" si="23"/>
        <v>2047</v>
      </c>
      <c r="AC311" s="2">
        <f t="shared" si="23"/>
        <v>2048</v>
      </c>
      <c r="AD311" s="2">
        <f t="shared" si="23"/>
        <v>2049</v>
      </c>
      <c r="AE311" s="2">
        <f t="shared" si="23"/>
        <v>2050</v>
      </c>
      <c r="AF311" s="2">
        <f t="shared" si="23"/>
        <v>2051</v>
      </c>
      <c r="AG311" s="2">
        <f t="shared" si="23"/>
        <v>2052</v>
      </c>
      <c r="AH311" s="2">
        <f t="shared" si="23"/>
        <v>2053</v>
      </c>
      <c r="AI311" s="2">
        <f t="shared" si="23"/>
        <v>2054</v>
      </c>
      <c r="AJ311" s="2">
        <f t="shared" si="23"/>
        <v>2055</v>
      </c>
      <c r="AK311" s="2">
        <f t="shared" si="23"/>
        <v>2056</v>
      </c>
      <c r="AL311" s="2">
        <f t="shared" si="23"/>
        <v>2057</v>
      </c>
      <c r="AM311" s="2">
        <f t="shared" si="23"/>
        <v>2058</v>
      </c>
      <c r="AN311" s="2">
        <f t="shared" si="23"/>
        <v>2059</v>
      </c>
      <c r="AO311" s="2">
        <f t="shared" si="23"/>
        <v>2060</v>
      </c>
      <c r="AP311" s="163"/>
    </row>
    <row r="312" spans="2:42" x14ac:dyDescent="0.3">
      <c r="B312" s="6"/>
      <c r="C312" s="6"/>
      <c r="D312" s="6">
        <f t="shared" si="20"/>
        <v>8</v>
      </c>
      <c r="E312" s="636" t="str">
        <f>E272</f>
        <v>Capacity - PJM Market</v>
      </c>
      <c r="F312" s="302"/>
      <c r="G312" s="302"/>
      <c r="H312" s="302"/>
      <c r="I312" s="302">
        <v>0</v>
      </c>
      <c r="J312" s="302">
        <v>0</v>
      </c>
      <c r="K312" s="302">
        <v>0</v>
      </c>
      <c r="L312" s="302">
        <v>0</v>
      </c>
      <c r="M312" s="302">
        <v>0</v>
      </c>
      <c r="N312" s="302">
        <v>0</v>
      </c>
      <c r="O312" s="302">
        <v>0</v>
      </c>
      <c r="P312" s="302">
        <v>0</v>
      </c>
      <c r="Q312" s="302">
        <v>0</v>
      </c>
      <c r="R312" s="302">
        <v>0</v>
      </c>
      <c r="S312" s="302">
        <v>0</v>
      </c>
      <c r="T312" s="302">
        <v>0</v>
      </c>
      <c r="U312" s="302">
        <v>0</v>
      </c>
      <c r="V312" s="302">
        <v>0</v>
      </c>
      <c r="W312" s="302">
        <v>0</v>
      </c>
      <c r="X312" s="302">
        <v>0</v>
      </c>
      <c r="Y312" s="302">
        <v>0</v>
      </c>
      <c r="Z312" s="302">
        <v>0</v>
      </c>
      <c r="AA312" s="302">
        <v>0</v>
      </c>
      <c r="AB312" s="302">
        <v>0</v>
      </c>
      <c r="AC312" s="302">
        <v>0</v>
      </c>
      <c r="AD312" s="302">
        <v>0</v>
      </c>
      <c r="AE312" s="302">
        <v>0</v>
      </c>
      <c r="AF312" s="302">
        <v>0</v>
      </c>
      <c r="AG312" s="302">
        <v>0</v>
      </c>
      <c r="AH312" s="302">
        <v>0</v>
      </c>
      <c r="AI312" s="302">
        <v>0</v>
      </c>
      <c r="AJ312" s="302">
        <v>0</v>
      </c>
      <c r="AK312" s="302">
        <v>0</v>
      </c>
      <c r="AL312" s="302">
        <v>0</v>
      </c>
      <c r="AM312" s="302">
        <v>0</v>
      </c>
      <c r="AN312" s="302">
        <v>0</v>
      </c>
      <c r="AO312" s="302">
        <v>0</v>
      </c>
      <c r="AP312" s="163"/>
    </row>
    <row r="313" spans="2:42" x14ac:dyDescent="0.3">
      <c r="B313" s="6"/>
      <c r="C313" s="6"/>
      <c r="D313" s="6">
        <f t="shared" si="20"/>
        <v>8</v>
      </c>
      <c r="E313" s="636" t="str">
        <f t="shared" ref="E313:E348" si="24">E273</f>
        <v>Energy Arbitrage - PJM Market</v>
      </c>
      <c r="F313" s="303"/>
      <c r="G313" s="304"/>
      <c r="H313" s="304"/>
      <c r="I313" s="304">
        <v>0</v>
      </c>
      <c r="J313" s="304">
        <v>0</v>
      </c>
      <c r="K313" s="304">
        <v>0</v>
      </c>
      <c r="L313" s="304">
        <v>0</v>
      </c>
      <c r="M313" s="304">
        <v>0</v>
      </c>
      <c r="N313" s="304">
        <v>0</v>
      </c>
      <c r="O313" s="304">
        <v>0</v>
      </c>
      <c r="P313" s="304">
        <v>0</v>
      </c>
      <c r="Q313" s="304">
        <v>0</v>
      </c>
      <c r="R313" s="304">
        <v>0</v>
      </c>
      <c r="S313" s="304">
        <v>0</v>
      </c>
      <c r="T313" s="304">
        <v>0</v>
      </c>
      <c r="U313" s="304">
        <v>0</v>
      </c>
      <c r="V313" s="304">
        <v>0</v>
      </c>
      <c r="W313" s="304">
        <v>0</v>
      </c>
      <c r="X313" s="304">
        <v>0</v>
      </c>
      <c r="Y313" s="304">
        <v>0</v>
      </c>
      <c r="Z313" s="304">
        <v>0</v>
      </c>
      <c r="AA313" s="304">
        <v>0</v>
      </c>
      <c r="AB313" s="304">
        <v>0</v>
      </c>
      <c r="AC313" s="304"/>
      <c r="AD313" s="304"/>
      <c r="AE313" s="304"/>
      <c r="AF313" s="304"/>
      <c r="AG313" s="304"/>
      <c r="AH313" s="304"/>
      <c r="AI313" s="304"/>
      <c r="AJ313" s="304"/>
      <c r="AK313" s="304"/>
      <c r="AL313" s="304"/>
      <c r="AM313" s="304"/>
      <c r="AN313" s="304"/>
      <c r="AO313" s="304"/>
      <c r="AP313" s="163"/>
    </row>
    <row r="314" spans="2:42" x14ac:dyDescent="0.3">
      <c r="B314" s="6"/>
      <c r="C314" s="6"/>
      <c r="D314" s="6">
        <f t="shared" si="20"/>
        <v>8</v>
      </c>
      <c r="E314" s="636" t="str">
        <f t="shared" si="24"/>
        <v>Spin- PJM Market</v>
      </c>
      <c r="F314" s="303"/>
      <c r="G314" s="304"/>
      <c r="H314" s="304"/>
      <c r="I314" s="304">
        <v>22255.889887920115</v>
      </c>
      <c r="J314" s="304">
        <v>20879.212136316968</v>
      </c>
      <c r="K314" s="304">
        <v>22474.186367486389</v>
      </c>
      <c r="L314" s="304">
        <v>21010.269177843642</v>
      </c>
      <c r="M314" s="304">
        <v>19776.701894744856</v>
      </c>
      <c r="N314" s="304">
        <v>20102.209155859771</v>
      </c>
      <c r="O314" s="304">
        <v>20427.716416974687</v>
      </c>
      <c r="P314" s="304">
        <v>20753.223678089598</v>
      </c>
      <c r="Q314" s="304">
        <v>21078.730939204514</v>
      </c>
      <c r="R314" s="304">
        <v>21404.238200319429</v>
      </c>
      <c r="S314" s="304">
        <v>22487.643474489778</v>
      </c>
      <c r="T314" s="304">
        <v>23571.048748660127</v>
      </c>
      <c r="U314" s="304">
        <v>24654.454022830476</v>
      </c>
      <c r="V314" s="304">
        <v>25737.859297000825</v>
      </c>
      <c r="W314" s="304">
        <v>26821.264571171174</v>
      </c>
      <c r="X314" s="304">
        <v>27883.67716297743</v>
      </c>
      <c r="Y314" s="304">
        <v>28946.089754783687</v>
      </c>
      <c r="Z314" s="304">
        <v>30008.502346589943</v>
      </c>
      <c r="AA314" s="304">
        <v>31070.914938396199</v>
      </c>
      <c r="AB314" s="304">
        <v>32133.327530202456</v>
      </c>
      <c r="AC314" s="304"/>
      <c r="AD314" s="304"/>
      <c r="AE314" s="304"/>
      <c r="AF314" s="304"/>
      <c r="AG314" s="304"/>
      <c r="AH314" s="304"/>
      <c r="AI314" s="304"/>
      <c r="AJ314" s="304"/>
      <c r="AK314" s="304"/>
      <c r="AL314" s="304"/>
      <c r="AM314" s="304"/>
      <c r="AN314" s="304"/>
      <c r="AO314" s="304"/>
      <c r="AP314" s="163"/>
    </row>
    <row r="315" spans="2:42" x14ac:dyDescent="0.3">
      <c r="B315" s="6"/>
      <c r="C315" s="6"/>
      <c r="D315" s="6">
        <f t="shared" si="20"/>
        <v>8</v>
      </c>
      <c r="E315" s="636" t="str">
        <f t="shared" si="24"/>
        <v>Non-Spin - PJM Market</v>
      </c>
      <c r="F315" s="303"/>
      <c r="G315" s="304"/>
      <c r="H315" s="304"/>
      <c r="I315" s="304">
        <v>0</v>
      </c>
      <c r="J315" s="304">
        <v>0</v>
      </c>
      <c r="K315" s="304">
        <v>0</v>
      </c>
      <c r="L315" s="304">
        <v>0</v>
      </c>
      <c r="M315" s="304">
        <v>0</v>
      </c>
      <c r="N315" s="304">
        <v>0</v>
      </c>
      <c r="O315" s="304">
        <v>0</v>
      </c>
      <c r="P315" s="304">
        <v>0</v>
      </c>
      <c r="Q315" s="304">
        <v>0</v>
      </c>
      <c r="R315" s="304">
        <v>0</v>
      </c>
      <c r="S315" s="304">
        <v>0</v>
      </c>
      <c r="T315" s="304">
        <v>0</v>
      </c>
      <c r="U315" s="304">
        <v>0</v>
      </c>
      <c r="V315" s="304">
        <v>0</v>
      </c>
      <c r="W315" s="304">
        <v>0</v>
      </c>
      <c r="X315" s="304">
        <v>0</v>
      </c>
      <c r="Y315" s="304">
        <v>0</v>
      </c>
      <c r="Z315" s="304">
        <v>0</v>
      </c>
      <c r="AA315" s="304">
        <v>0</v>
      </c>
      <c r="AB315" s="304">
        <v>0</v>
      </c>
      <c r="AC315" s="304"/>
      <c r="AD315" s="304"/>
      <c r="AE315" s="304"/>
      <c r="AF315" s="304"/>
      <c r="AG315" s="304"/>
      <c r="AH315" s="304"/>
      <c r="AI315" s="304"/>
      <c r="AJ315" s="304"/>
      <c r="AK315" s="304"/>
      <c r="AL315" s="304"/>
      <c r="AM315" s="304"/>
      <c r="AN315" s="304"/>
      <c r="AO315" s="304"/>
      <c r="AP315" s="163"/>
    </row>
    <row r="316" spans="2:42" x14ac:dyDescent="0.3">
      <c r="B316" s="6"/>
      <c r="C316" s="6"/>
      <c r="D316" s="6">
        <f t="shared" si="20"/>
        <v>8</v>
      </c>
      <c r="E316" s="636" t="str">
        <f t="shared" si="24"/>
        <v>Regulation - PJM Market</v>
      </c>
      <c r="F316" s="303"/>
      <c r="G316" s="304"/>
      <c r="H316" s="304"/>
      <c r="I316" s="304">
        <v>272523.49886764982</v>
      </c>
      <c r="J316" s="304">
        <v>171201.988772324</v>
      </c>
      <c r="K316" s="304">
        <v>116644.82155502749</v>
      </c>
      <c r="L316" s="304">
        <v>88476.298221561505</v>
      </c>
      <c r="M316" s="304">
        <v>64021.286024732814</v>
      </c>
      <c r="N316" s="304">
        <v>57009.885099465311</v>
      </c>
      <c r="O316" s="304">
        <v>49998.484174197816</v>
      </c>
      <c r="P316" s="304">
        <v>42987.083248930314</v>
      </c>
      <c r="Q316" s="304">
        <v>35975.682323662812</v>
      </c>
      <c r="R316" s="304">
        <v>28964.281398395313</v>
      </c>
      <c r="S316" s="304">
        <v>29882.265362244543</v>
      </c>
      <c r="T316" s="304">
        <v>30800.249326093777</v>
      </c>
      <c r="U316" s="304">
        <v>31718.233289943008</v>
      </c>
      <c r="V316" s="304">
        <v>32636.217253792242</v>
      </c>
      <c r="W316" s="304">
        <v>33554.201217641472</v>
      </c>
      <c r="X316" s="304">
        <v>33648.262803962061</v>
      </c>
      <c r="Y316" s="304">
        <v>33742.324390282643</v>
      </c>
      <c r="Z316" s="304">
        <v>33836.385976603233</v>
      </c>
      <c r="AA316" s="304">
        <v>33930.447562923815</v>
      </c>
      <c r="AB316" s="304">
        <v>34024.509149244404</v>
      </c>
      <c r="AC316" s="304"/>
      <c r="AD316" s="304"/>
      <c r="AE316" s="304"/>
      <c r="AF316" s="304"/>
      <c r="AG316" s="304"/>
      <c r="AH316" s="304"/>
      <c r="AI316" s="304"/>
      <c r="AJ316" s="304"/>
      <c r="AK316" s="304"/>
      <c r="AL316" s="304"/>
      <c r="AM316" s="304"/>
      <c r="AN316" s="304"/>
      <c r="AO316" s="304"/>
      <c r="AP316" s="163"/>
    </row>
    <row r="317" spans="2:42" x14ac:dyDescent="0.3">
      <c r="B317" s="6"/>
      <c r="C317" s="6"/>
      <c r="D317" s="6">
        <f t="shared" si="20"/>
        <v>8</v>
      </c>
      <c r="E317" s="636" t="str">
        <f t="shared" si="24"/>
        <v>Incurred Energy Charges</v>
      </c>
      <c r="F317" s="303"/>
      <c r="G317" s="304"/>
      <c r="H317" s="304"/>
      <c r="I317" s="304"/>
      <c r="J317" s="304"/>
      <c r="K317" s="304"/>
      <c r="L317" s="304"/>
      <c r="M317" s="304"/>
      <c r="N317" s="304"/>
      <c r="O317" s="304"/>
      <c r="P317" s="304"/>
      <c r="Q317" s="304"/>
      <c r="R317" s="304"/>
      <c r="S317" s="304"/>
      <c r="T317" s="304"/>
      <c r="U317" s="304"/>
      <c r="V317" s="304"/>
      <c r="W317" s="304"/>
      <c r="X317" s="304"/>
      <c r="Y317" s="304"/>
      <c r="Z317" s="304"/>
      <c r="AA317" s="304"/>
      <c r="AB317" s="304"/>
      <c r="AC317" s="304"/>
      <c r="AD317" s="304"/>
      <c r="AE317" s="304"/>
      <c r="AF317" s="304"/>
      <c r="AG317" s="304"/>
      <c r="AH317" s="304"/>
      <c r="AI317" s="304"/>
      <c r="AJ317" s="304"/>
      <c r="AK317" s="304"/>
      <c r="AL317" s="304"/>
      <c r="AM317" s="304"/>
      <c r="AN317" s="304"/>
      <c r="AO317" s="304"/>
      <c r="AP317" s="163"/>
    </row>
    <row r="318" spans="2:42" x14ac:dyDescent="0.3">
      <c r="B318" s="6"/>
      <c r="C318" s="6"/>
      <c r="D318" s="6">
        <f t="shared" si="20"/>
        <v>8</v>
      </c>
      <c r="E318" s="636" t="str">
        <f t="shared" si="24"/>
        <v>As Used Demand Charges</v>
      </c>
      <c r="F318" s="303"/>
      <c r="G318" s="304"/>
      <c r="H318" s="304"/>
      <c r="I318" s="304">
        <v>0</v>
      </c>
      <c r="J318" s="304">
        <v>0</v>
      </c>
      <c r="K318" s="304">
        <v>0</v>
      </c>
      <c r="L318" s="304">
        <v>0</v>
      </c>
      <c r="M318" s="304">
        <v>0</v>
      </c>
      <c r="N318" s="304">
        <v>0</v>
      </c>
      <c r="O318" s="304">
        <v>0</v>
      </c>
      <c r="P318" s="304">
        <v>0</v>
      </c>
      <c r="Q318" s="304">
        <v>0</v>
      </c>
      <c r="R318" s="304">
        <v>0</v>
      </c>
      <c r="S318" s="304">
        <v>0</v>
      </c>
      <c r="T318" s="304">
        <v>0</v>
      </c>
      <c r="U318" s="304">
        <v>0</v>
      </c>
      <c r="V318" s="304">
        <v>0</v>
      </c>
      <c r="W318" s="304">
        <v>0</v>
      </c>
      <c r="X318" s="304">
        <v>0</v>
      </c>
      <c r="Y318" s="304">
        <v>0</v>
      </c>
      <c r="Z318" s="304">
        <v>0</v>
      </c>
      <c r="AA318" s="304">
        <v>0</v>
      </c>
      <c r="AB318" s="304">
        <v>0</v>
      </c>
      <c r="AC318" s="304"/>
      <c r="AD318" s="304"/>
      <c r="AE318" s="304"/>
      <c r="AF318" s="304"/>
      <c r="AG318" s="304"/>
      <c r="AH318" s="304"/>
      <c r="AI318" s="304"/>
      <c r="AJ318" s="304"/>
      <c r="AK318" s="304"/>
      <c r="AL318" s="304"/>
      <c r="AM318" s="304"/>
      <c r="AN318" s="304"/>
      <c r="AO318" s="304"/>
      <c r="AP318" s="163"/>
    </row>
    <row r="319" spans="2:42" x14ac:dyDescent="0.3">
      <c r="B319" s="6"/>
      <c r="C319" s="6"/>
      <c r="D319" s="6">
        <f t="shared" si="20"/>
        <v>8</v>
      </c>
      <c r="E319" s="636" t="str">
        <f t="shared" si="24"/>
        <v>Contract Demand Charges  Fixed</v>
      </c>
      <c r="F319" s="303"/>
      <c r="G319" s="304"/>
      <c r="H319" s="304"/>
      <c r="I319" s="304">
        <v>0</v>
      </c>
      <c r="J319" s="304">
        <v>0</v>
      </c>
      <c r="K319" s="304">
        <v>0</v>
      </c>
      <c r="L319" s="304">
        <v>0</v>
      </c>
      <c r="M319" s="304">
        <v>0</v>
      </c>
      <c r="N319" s="304">
        <v>0</v>
      </c>
      <c r="O319" s="304">
        <v>0</v>
      </c>
      <c r="P319" s="304">
        <v>0</v>
      </c>
      <c r="Q319" s="304">
        <v>0</v>
      </c>
      <c r="R319" s="304">
        <v>0</v>
      </c>
      <c r="S319" s="304">
        <v>0</v>
      </c>
      <c r="T319" s="304">
        <v>0</v>
      </c>
      <c r="U319" s="304">
        <v>0</v>
      </c>
      <c r="V319" s="304">
        <v>0</v>
      </c>
      <c r="W319" s="304">
        <v>0</v>
      </c>
      <c r="X319" s="304">
        <v>0</v>
      </c>
      <c r="Y319" s="304">
        <v>0</v>
      </c>
      <c r="Z319" s="304">
        <v>0</v>
      </c>
      <c r="AA319" s="304">
        <v>0</v>
      </c>
      <c r="AB319" s="304">
        <v>0</v>
      </c>
      <c r="AC319" s="304"/>
      <c r="AD319" s="304"/>
      <c r="AE319" s="304"/>
      <c r="AF319" s="304"/>
      <c r="AG319" s="304"/>
      <c r="AH319" s="304"/>
      <c r="AI319" s="304"/>
      <c r="AJ319" s="304"/>
      <c r="AK319" s="304"/>
      <c r="AL319" s="304"/>
      <c r="AM319" s="304"/>
      <c r="AN319" s="304"/>
      <c r="AO319" s="304"/>
      <c r="AP319" s="163"/>
    </row>
    <row r="320" spans="2:42" x14ac:dyDescent="0.3">
      <c r="B320" s="6"/>
      <c r="C320" s="6"/>
      <c r="D320" s="6">
        <f t="shared" si="20"/>
        <v>8</v>
      </c>
      <c r="E320" s="636" t="str">
        <f t="shared" si="24"/>
        <v>Customer Charges/ Fixed Charges</v>
      </c>
      <c r="F320" s="303"/>
      <c r="G320" s="304"/>
      <c r="H320" s="304"/>
      <c r="I320" s="304"/>
      <c r="J320" s="304"/>
      <c r="K320" s="304"/>
      <c r="L320" s="304"/>
      <c r="M320" s="304"/>
      <c r="N320" s="304"/>
      <c r="O320" s="304"/>
      <c r="P320" s="304"/>
      <c r="Q320" s="304"/>
      <c r="R320" s="304"/>
      <c r="S320" s="304"/>
      <c r="T320" s="304"/>
      <c r="U320" s="304"/>
      <c r="V320" s="304"/>
      <c r="W320" s="304"/>
      <c r="X320" s="304"/>
      <c r="Y320" s="304"/>
      <c r="Z320" s="304"/>
      <c r="AA320" s="304"/>
      <c r="AB320" s="304"/>
      <c r="AC320" s="304"/>
      <c r="AD320" s="304"/>
      <c r="AE320" s="304"/>
      <c r="AF320" s="304"/>
      <c r="AG320" s="304"/>
      <c r="AH320" s="304"/>
      <c r="AI320" s="304"/>
      <c r="AJ320" s="304"/>
      <c r="AK320" s="304"/>
      <c r="AL320" s="304"/>
      <c r="AM320" s="304"/>
      <c r="AN320" s="304"/>
      <c r="AO320" s="304"/>
      <c r="AP320" s="163"/>
    </row>
    <row r="321" spans="2:42" x14ac:dyDescent="0.3">
      <c r="B321" s="6"/>
      <c r="C321" s="6"/>
      <c r="D321" s="6">
        <f t="shared" si="20"/>
        <v>8</v>
      </c>
      <c r="E321" s="637" t="str">
        <f t="shared" si="24"/>
        <v>Energy Savings</v>
      </c>
      <c r="F321" s="303"/>
      <c r="G321" s="304"/>
      <c r="H321" s="304"/>
      <c r="I321" s="304">
        <v>-76359.414817402256</v>
      </c>
      <c r="J321" s="304">
        <v>-56313.085999579343</v>
      </c>
      <c r="K321" s="304">
        <v>-7563.9321510547888</v>
      </c>
      <c r="L321" s="617">
        <v>-11181.623933599156</v>
      </c>
      <c r="M321" s="617">
        <v>-7205.8161762185628</v>
      </c>
      <c r="N321" s="617">
        <v>-13721.274827318441</v>
      </c>
      <c r="O321" s="617">
        <v>-20236.733478418319</v>
      </c>
      <c r="P321" s="617">
        <v>-26752.192129518196</v>
      </c>
      <c r="Q321" s="617">
        <v>-33267.650780618074</v>
      </c>
      <c r="R321" s="617">
        <v>-39783.109431717952</v>
      </c>
      <c r="S321" s="617">
        <v>-39898.861680991438</v>
      </c>
      <c r="T321" s="617">
        <v>-40014.613930264917</v>
      </c>
      <c r="U321" s="617">
        <v>-40130.366179538403</v>
      </c>
      <c r="V321" s="617">
        <v>-40246.118428811882</v>
      </c>
      <c r="W321" s="617">
        <v>-40361.870678085368</v>
      </c>
      <c r="X321" s="617">
        <v>-42288.084725903616</v>
      </c>
      <c r="Y321" s="617">
        <v>-44214.298773721865</v>
      </c>
      <c r="Z321" s="617">
        <v>-46140.512821540106</v>
      </c>
      <c r="AA321" s="617">
        <v>-48066.726869358354</v>
      </c>
      <c r="AB321" s="304">
        <v>-49992.940917176602</v>
      </c>
      <c r="AC321" s="304"/>
      <c r="AD321" s="304"/>
      <c r="AE321" s="304"/>
      <c r="AF321" s="304"/>
      <c r="AG321" s="304"/>
      <c r="AH321" s="304"/>
      <c r="AI321" s="304"/>
      <c r="AJ321" s="304"/>
      <c r="AK321" s="304"/>
      <c r="AL321" s="304"/>
      <c r="AM321" s="304"/>
      <c r="AN321" s="304"/>
      <c r="AO321" s="304"/>
      <c r="AP321" s="163"/>
    </row>
    <row r="322" spans="2:42" x14ac:dyDescent="0.3">
      <c r="B322" s="6"/>
      <c r="C322" s="6"/>
      <c r="D322" s="6">
        <f t="shared" si="20"/>
        <v>8</v>
      </c>
      <c r="E322" s="637" t="str">
        <f t="shared" si="24"/>
        <v xml:space="preserve">Demand Savings </v>
      </c>
      <c r="F322" s="303"/>
      <c r="G322" s="304"/>
      <c r="H322" s="304"/>
      <c r="I322" s="304">
        <v>90601.371366448104</v>
      </c>
      <c r="J322" s="304">
        <v>121000.2416150959</v>
      </c>
      <c r="K322" s="304">
        <v>101914.09973469451</v>
      </c>
      <c r="L322" s="617">
        <v>104474.11212920056</v>
      </c>
      <c r="M322" s="617">
        <v>61217.101588450401</v>
      </c>
      <c r="N322" s="617">
        <v>53322.949948428359</v>
      </c>
      <c r="O322" s="617">
        <v>45428.798308406316</v>
      </c>
      <c r="P322" s="617">
        <v>37534.646668384274</v>
      </c>
      <c r="Q322" s="617">
        <v>29640.495028362235</v>
      </c>
      <c r="R322" s="617">
        <v>21746.343388340203</v>
      </c>
      <c r="S322" s="617">
        <v>17691.144476376161</v>
      </c>
      <c r="T322" s="617">
        <v>13635.945564412121</v>
      </c>
      <c r="U322" s="617">
        <v>9580.7466524480806</v>
      </c>
      <c r="V322" s="617">
        <v>5525.5477404840403</v>
      </c>
      <c r="W322" s="617">
        <v>1470.3488285200001</v>
      </c>
      <c r="X322" s="617">
        <v>14445.195956036197</v>
      </c>
      <c r="Y322" s="617">
        <v>27420.043083552395</v>
      </c>
      <c r="Z322" s="617">
        <v>40394.890211068589</v>
      </c>
      <c r="AA322" s="617">
        <v>53369.73733858479</v>
      </c>
      <c r="AB322" s="304">
        <v>66344.584466100991</v>
      </c>
      <c r="AC322" s="304"/>
      <c r="AD322" s="304"/>
      <c r="AE322" s="304"/>
      <c r="AF322" s="304"/>
      <c r="AG322" s="304"/>
      <c r="AH322" s="304"/>
      <c r="AI322" s="304"/>
      <c r="AJ322" s="304"/>
      <c r="AK322" s="304"/>
      <c r="AL322" s="304"/>
      <c r="AM322" s="304"/>
      <c r="AN322" s="304"/>
      <c r="AO322" s="304"/>
      <c r="AP322" s="163"/>
    </row>
    <row r="323" spans="2:42" x14ac:dyDescent="0.3">
      <c r="B323" s="6"/>
      <c r="C323" s="6"/>
      <c r="D323" s="6">
        <f t="shared" si="20"/>
        <v>8</v>
      </c>
      <c r="E323" s="638" t="str">
        <f t="shared" si="24"/>
        <v>Energy Generation - Export</v>
      </c>
      <c r="F323" s="303"/>
      <c r="G323" s="304"/>
      <c r="H323" s="304"/>
      <c r="I323" s="304">
        <v>40433.13582920115</v>
      </c>
      <c r="J323" s="304">
        <v>39033.032855167141</v>
      </c>
      <c r="K323" s="304">
        <v>19201.650493740977</v>
      </c>
      <c r="L323" s="617">
        <v>21428.711346509142</v>
      </c>
      <c r="M323" s="617">
        <v>36844.929354534441</v>
      </c>
      <c r="N323" s="617">
        <v>47901.235232046645</v>
      </c>
      <c r="O323" s="617">
        <v>58957.541109558857</v>
      </c>
      <c r="P323" s="617">
        <v>70013.846987071069</v>
      </c>
      <c r="Q323" s="617">
        <v>81070.152864583273</v>
      </c>
      <c r="R323" s="617">
        <v>92126.458742095478</v>
      </c>
      <c r="S323" s="617">
        <v>100486.74928741207</v>
      </c>
      <c r="T323" s="617">
        <v>108847.03983272864</v>
      </c>
      <c r="U323" s="617">
        <v>117207.33037804523</v>
      </c>
      <c r="V323" s="617">
        <v>125567.6209233618</v>
      </c>
      <c r="W323" s="617">
        <v>133927.91146867839</v>
      </c>
      <c r="X323" s="617">
        <v>137770.17965843048</v>
      </c>
      <c r="Y323" s="617">
        <v>141612.44784818261</v>
      </c>
      <c r="Z323" s="617">
        <v>145454.7160379347</v>
      </c>
      <c r="AA323" s="617">
        <v>149296.98422768683</v>
      </c>
      <c r="AB323" s="304">
        <v>153139.25241743893</v>
      </c>
      <c r="AC323" s="304"/>
      <c r="AD323" s="304"/>
      <c r="AE323" s="304"/>
      <c r="AF323" s="304"/>
      <c r="AG323" s="304"/>
      <c r="AH323" s="304"/>
      <c r="AI323" s="304"/>
      <c r="AJ323" s="304"/>
      <c r="AK323" s="304"/>
      <c r="AL323" s="304"/>
      <c r="AM323" s="304"/>
      <c r="AN323" s="304"/>
      <c r="AO323" s="304"/>
      <c r="AP323" s="163"/>
    </row>
    <row r="324" spans="2:42" x14ac:dyDescent="0.3">
      <c r="B324" s="6"/>
      <c r="C324" s="6"/>
      <c r="D324" s="6">
        <f t="shared" si="20"/>
        <v>8</v>
      </c>
      <c r="E324" s="638" t="str">
        <f t="shared" si="24"/>
        <v>Generation Capacity</v>
      </c>
      <c r="F324" s="303"/>
      <c r="G324" s="304"/>
      <c r="H324" s="304"/>
      <c r="I324" s="304">
        <v>201557.96878456953</v>
      </c>
      <c r="J324" s="304">
        <v>206983.13337162969</v>
      </c>
      <c r="K324" s="304">
        <v>163726.28157935312</v>
      </c>
      <c r="L324" s="617">
        <v>163738.27965134807</v>
      </c>
      <c r="M324" s="617">
        <v>166442.15072884347</v>
      </c>
      <c r="N324" s="617">
        <v>170628.11975700432</v>
      </c>
      <c r="O324" s="617">
        <v>174814.08878516514</v>
      </c>
      <c r="P324" s="617">
        <v>179000.05781332596</v>
      </c>
      <c r="Q324" s="617">
        <v>183186.02684148678</v>
      </c>
      <c r="R324" s="617">
        <v>187371.9958696476</v>
      </c>
      <c r="S324" s="617">
        <v>194604.06961019014</v>
      </c>
      <c r="T324" s="617">
        <v>199440.26360413682</v>
      </c>
      <c r="U324" s="617">
        <v>204276.45759808351</v>
      </c>
      <c r="V324" s="617">
        <v>209112.65159203019</v>
      </c>
      <c r="W324" s="617">
        <v>213948.84558597693</v>
      </c>
      <c r="X324" s="617">
        <v>217768.25153957342</v>
      </c>
      <c r="Y324" s="617">
        <v>221587.65749316991</v>
      </c>
      <c r="Z324" s="617">
        <v>225407.06344676641</v>
      </c>
      <c r="AA324" s="617">
        <v>229226.4694003629</v>
      </c>
      <c r="AB324" s="304">
        <v>233045.87535395942</v>
      </c>
      <c r="AC324" s="304"/>
      <c r="AD324" s="304"/>
      <c r="AE324" s="304"/>
      <c r="AF324" s="304"/>
      <c r="AG324" s="304"/>
      <c r="AH324" s="304"/>
      <c r="AI324" s="304"/>
      <c r="AJ324" s="304"/>
      <c r="AK324" s="304"/>
      <c r="AL324" s="304"/>
      <c r="AM324" s="304"/>
      <c r="AN324" s="304"/>
      <c r="AO324" s="304"/>
      <c r="AP324" s="163"/>
    </row>
    <row r="325" spans="2:42" x14ac:dyDescent="0.3">
      <c r="B325" s="6"/>
      <c r="C325" s="6"/>
      <c r="D325" s="6">
        <f t="shared" si="20"/>
        <v>8</v>
      </c>
      <c r="E325" s="638" t="str">
        <f t="shared" si="24"/>
        <v>Transmission Capacity</v>
      </c>
      <c r="F325" s="303"/>
      <c r="G325" s="304"/>
      <c r="H325" s="304"/>
      <c r="I325" s="304">
        <v>68687.222063913607</v>
      </c>
      <c r="J325" s="304">
        <v>70536.017658410667</v>
      </c>
      <c r="K325" s="304">
        <v>55794.883865692245</v>
      </c>
      <c r="L325" s="617">
        <v>55798.97258637358</v>
      </c>
      <c r="M325" s="617">
        <v>56720.401762565678</v>
      </c>
      <c r="N325" s="617">
        <v>58146.902465682302</v>
      </c>
      <c r="O325" s="617">
        <v>59573.403168798926</v>
      </c>
      <c r="P325" s="617">
        <v>60999.903871915543</v>
      </c>
      <c r="Q325" s="617">
        <v>62426.404575032167</v>
      </c>
      <c r="R325" s="617">
        <v>63852.905278148806</v>
      </c>
      <c r="S325" s="617">
        <v>65097.574666380635</v>
      </c>
      <c r="T325" s="617">
        <v>65834.33241617099</v>
      </c>
      <c r="U325" s="617">
        <v>66571.09016596133</v>
      </c>
      <c r="V325" s="617">
        <v>67307.84791575167</v>
      </c>
      <c r="W325" s="617">
        <v>68044.605665541982</v>
      </c>
      <c r="X325" s="617">
        <v>67900.754444912789</v>
      </c>
      <c r="Y325" s="617">
        <v>67756.903224283611</v>
      </c>
      <c r="Z325" s="617">
        <v>67613.052003654433</v>
      </c>
      <c r="AA325" s="617">
        <v>67469.200783025241</v>
      </c>
      <c r="AB325" s="304">
        <v>67325.349562396019</v>
      </c>
      <c r="AC325" s="304"/>
      <c r="AD325" s="304"/>
      <c r="AE325" s="304"/>
      <c r="AF325" s="304"/>
      <c r="AG325" s="304"/>
      <c r="AH325" s="304"/>
      <c r="AI325" s="304"/>
      <c r="AJ325" s="304"/>
      <c r="AK325" s="304"/>
      <c r="AL325" s="304"/>
      <c r="AM325" s="304"/>
      <c r="AN325" s="304"/>
      <c r="AO325" s="304"/>
      <c r="AP325" s="163"/>
    </row>
    <row r="326" spans="2:42" x14ac:dyDescent="0.3">
      <c r="B326" s="6"/>
      <c r="C326" s="6"/>
      <c r="D326" s="6">
        <f t="shared" si="20"/>
        <v>8</v>
      </c>
      <c r="E326" s="638" t="str">
        <f t="shared" si="24"/>
        <v>Distribution Capacity</v>
      </c>
      <c r="F326" s="303"/>
      <c r="G326" s="304"/>
      <c r="H326" s="304"/>
      <c r="I326" s="304">
        <v>11149.215881924771</v>
      </c>
      <c r="J326" s="304">
        <v>13501.108441246952</v>
      </c>
      <c r="K326" s="304">
        <v>12336.270404458908</v>
      </c>
      <c r="L326" s="617">
        <v>12657.076235331488</v>
      </c>
      <c r="M326" s="617">
        <v>14142.750682561104</v>
      </c>
      <c r="N326" s="617">
        <v>14469.109193703776</v>
      </c>
      <c r="O326" s="617">
        <v>14795.467704846449</v>
      </c>
      <c r="P326" s="617">
        <v>15121.826215989122</v>
      </c>
      <c r="Q326" s="617">
        <v>15448.184727131795</v>
      </c>
      <c r="R326" s="617">
        <v>15774.543238274469</v>
      </c>
      <c r="S326" s="617">
        <v>16085.108359987744</v>
      </c>
      <c r="T326" s="617">
        <v>16270.196433054332</v>
      </c>
      <c r="U326" s="617">
        <v>16455.284506120915</v>
      </c>
      <c r="V326" s="617">
        <v>16640.372579187511</v>
      </c>
      <c r="W326" s="617">
        <v>16825.460652254096</v>
      </c>
      <c r="X326" s="617">
        <v>17085.57965208614</v>
      </c>
      <c r="Y326" s="617">
        <v>17345.698651918181</v>
      </c>
      <c r="Z326" s="617">
        <v>17605.817651750225</v>
      </c>
      <c r="AA326" s="617">
        <v>17865.936651582269</v>
      </c>
      <c r="AB326" s="304">
        <v>18126.055651414314</v>
      </c>
      <c r="AC326" s="304"/>
      <c r="AD326" s="304"/>
      <c r="AE326" s="304"/>
      <c r="AF326" s="304"/>
      <c r="AG326" s="304"/>
      <c r="AH326" s="304"/>
      <c r="AI326" s="304"/>
      <c r="AJ326" s="304"/>
      <c r="AK326" s="304"/>
      <c r="AL326" s="304"/>
      <c r="AM326" s="304"/>
      <c r="AN326" s="304"/>
      <c r="AO326" s="304"/>
      <c r="AP326" s="163"/>
    </row>
    <row r="327" spans="2:42" x14ac:dyDescent="0.3">
      <c r="B327" s="6"/>
      <c r="C327" s="6"/>
      <c r="D327" s="6">
        <f t="shared" ref="D327:D390" si="25">D287+1</f>
        <v>8</v>
      </c>
      <c r="E327" s="638" t="str">
        <f t="shared" si="24"/>
        <v>GHG Impacts</v>
      </c>
      <c r="F327" s="303"/>
      <c r="G327" s="304"/>
      <c r="H327" s="304"/>
      <c r="I327" s="304">
        <v>150716.72177001648</v>
      </c>
      <c r="J327" s="304">
        <v>142952.05724555062</v>
      </c>
      <c r="K327" s="304">
        <v>42540.865824193541</v>
      </c>
      <c r="L327" s="617">
        <v>50067.180270325262</v>
      </c>
      <c r="M327" s="617">
        <v>67417.048483787847</v>
      </c>
      <c r="N327" s="617">
        <v>92941.309597860047</v>
      </c>
      <c r="O327" s="617">
        <v>118465.57071193226</v>
      </c>
      <c r="P327" s="617">
        <v>143989.83182600446</v>
      </c>
      <c r="Q327" s="617">
        <v>169514.09294007666</v>
      </c>
      <c r="R327" s="617">
        <v>195038.35405414886</v>
      </c>
      <c r="S327" s="617">
        <v>227242.59320619749</v>
      </c>
      <c r="T327" s="617">
        <v>259446.83235824609</v>
      </c>
      <c r="U327" s="617">
        <v>291651.07151029469</v>
      </c>
      <c r="V327" s="617">
        <v>323855.31066234334</v>
      </c>
      <c r="W327" s="617">
        <v>356059.54981439194</v>
      </c>
      <c r="X327" s="617">
        <v>388140.92106910277</v>
      </c>
      <c r="Y327" s="617">
        <v>420222.2923238136</v>
      </c>
      <c r="Z327" s="617">
        <v>452303.66357852443</v>
      </c>
      <c r="AA327" s="617">
        <v>484385.03483323526</v>
      </c>
      <c r="AB327" s="304">
        <v>516466.40608794609</v>
      </c>
      <c r="AC327" s="304"/>
      <c r="AD327" s="304"/>
      <c r="AE327" s="304"/>
      <c r="AF327" s="304"/>
      <c r="AG327" s="304"/>
      <c r="AH327" s="304"/>
      <c r="AI327" s="304"/>
      <c r="AJ327" s="304"/>
      <c r="AK327" s="304"/>
      <c r="AL327" s="304"/>
      <c r="AM327" s="304"/>
      <c r="AN327" s="304"/>
      <c r="AO327" s="304"/>
      <c r="AP327" s="163"/>
    </row>
    <row r="328" spans="2:42" x14ac:dyDescent="0.3">
      <c r="B328" s="6"/>
      <c r="C328" s="6"/>
      <c r="D328" s="6">
        <f t="shared" si="25"/>
        <v>8</v>
      </c>
      <c r="E328" s="638" t="str">
        <f t="shared" si="24"/>
        <v>Market Price Effects - Wholesale Energy</v>
      </c>
      <c r="F328" s="303"/>
      <c r="G328" s="304"/>
      <c r="H328" s="304"/>
      <c r="I328" s="304">
        <v>7577.9757326935878</v>
      </c>
      <c r="J328" s="304">
        <v>15349.097217621853</v>
      </c>
      <c r="K328" s="304">
        <v>21703.889733544314</v>
      </c>
      <c r="L328" s="617">
        <v>21953.286402531914</v>
      </c>
      <c r="M328" s="617">
        <v>41729.91691729283</v>
      </c>
      <c r="N328" s="617">
        <v>39150.880987426113</v>
      </c>
      <c r="O328" s="617">
        <v>36571.845057559396</v>
      </c>
      <c r="P328" s="617">
        <v>33992.809127692679</v>
      </c>
      <c r="Q328" s="617">
        <v>31413.773197825962</v>
      </c>
      <c r="R328" s="617">
        <v>28834.737267959244</v>
      </c>
      <c r="S328" s="617">
        <v>35053.310319720971</v>
      </c>
      <c r="T328" s="617">
        <v>41271.883371482705</v>
      </c>
      <c r="U328" s="617">
        <v>47490.456423244432</v>
      </c>
      <c r="V328" s="617">
        <v>53709.029475006158</v>
      </c>
      <c r="W328" s="617">
        <v>59927.602526767892</v>
      </c>
      <c r="X328" s="617">
        <v>63060.295666494974</v>
      </c>
      <c r="Y328" s="617">
        <v>66192.988806222056</v>
      </c>
      <c r="Z328" s="617">
        <v>69325.681945949153</v>
      </c>
      <c r="AA328" s="617">
        <v>72458.375085676234</v>
      </c>
      <c r="AB328" s="304">
        <v>75591.068225403316</v>
      </c>
      <c r="AC328" s="304"/>
      <c r="AD328" s="304"/>
      <c r="AE328" s="304"/>
      <c r="AF328" s="304"/>
      <c r="AG328" s="304"/>
      <c r="AH328" s="304"/>
      <c r="AI328" s="304"/>
      <c r="AJ328" s="304"/>
      <c r="AK328" s="304"/>
      <c r="AL328" s="304"/>
      <c r="AM328" s="304"/>
      <c r="AN328" s="304"/>
      <c r="AO328" s="304"/>
      <c r="AP328" s="163"/>
    </row>
    <row r="329" spans="2:42" x14ac:dyDescent="0.3">
      <c r="B329" s="6"/>
      <c r="C329" s="6"/>
      <c r="D329" s="6">
        <f t="shared" si="25"/>
        <v>8</v>
      </c>
      <c r="E329" s="638" t="str">
        <f t="shared" si="24"/>
        <v>Market Price Effects - Wholesale Capacity</v>
      </c>
      <c r="F329" s="303"/>
      <c r="G329" s="304"/>
      <c r="H329" s="304"/>
      <c r="I329" s="304">
        <v>0</v>
      </c>
      <c r="J329" s="304">
        <v>0</v>
      </c>
      <c r="K329" s="304">
        <v>0</v>
      </c>
      <c r="L329" s="617">
        <v>0</v>
      </c>
      <c r="M329" s="617">
        <v>0</v>
      </c>
      <c r="N329" s="617">
        <v>0</v>
      </c>
      <c r="O329" s="617">
        <v>0</v>
      </c>
      <c r="P329" s="617">
        <v>0</v>
      </c>
      <c r="Q329" s="617">
        <v>0</v>
      </c>
      <c r="R329" s="617">
        <v>0</v>
      </c>
      <c r="S329" s="617">
        <v>0</v>
      </c>
      <c r="T329" s="617">
        <v>0</v>
      </c>
      <c r="U329" s="617">
        <v>0</v>
      </c>
      <c r="V329" s="617">
        <v>0</v>
      </c>
      <c r="W329" s="617">
        <v>0</v>
      </c>
      <c r="X329" s="617">
        <v>0</v>
      </c>
      <c r="Y329" s="617">
        <v>0</v>
      </c>
      <c r="Z329" s="617">
        <v>0</v>
      </c>
      <c r="AA329" s="617">
        <v>0</v>
      </c>
      <c r="AB329" s="304">
        <v>0</v>
      </c>
      <c r="AC329" s="304"/>
      <c r="AD329" s="304"/>
      <c r="AE329" s="304"/>
      <c r="AF329" s="304"/>
      <c r="AG329" s="304"/>
      <c r="AH329" s="304"/>
      <c r="AI329" s="304"/>
      <c r="AJ329" s="304"/>
      <c r="AK329" s="304"/>
      <c r="AL329" s="304"/>
      <c r="AM329" s="304"/>
      <c r="AN329" s="304"/>
      <c r="AO329" s="304"/>
      <c r="AP329" s="163"/>
    </row>
    <row r="330" spans="2:42" x14ac:dyDescent="0.3">
      <c r="B330" s="6"/>
      <c r="C330" s="6"/>
      <c r="D330" s="6">
        <f t="shared" si="25"/>
        <v>8</v>
      </c>
      <c r="E330" s="639" t="str">
        <f t="shared" si="24"/>
        <v>Avoided Cost of Participant Backup Generator</v>
      </c>
      <c r="F330" s="303"/>
      <c r="G330" s="303"/>
      <c r="H330" s="304"/>
      <c r="I330" s="303"/>
      <c r="J330" s="303"/>
      <c r="K330" s="303"/>
      <c r="L330" s="303"/>
      <c r="M330" s="303"/>
      <c r="N330" s="303"/>
      <c r="O330" s="303"/>
      <c r="P330" s="303"/>
      <c r="Q330" s="303"/>
      <c r="R330" s="303"/>
      <c r="S330" s="303"/>
      <c r="T330" s="303"/>
      <c r="U330" s="303"/>
      <c r="V330" s="303"/>
      <c r="W330" s="303"/>
      <c r="X330" s="303"/>
      <c r="Y330" s="303"/>
      <c r="Z330" s="303"/>
      <c r="AA330" s="303"/>
      <c r="AB330" s="303"/>
      <c r="AC330" s="303"/>
      <c r="AD330" s="303"/>
      <c r="AE330" s="303"/>
      <c r="AF330" s="303"/>
      <c r="AG330" s="303"/>
      <c r="AH330" s="303"/>
      <c r="AI330" s="303"/>
      <c r="AJ330" s="303"/>
      <c r="AK330" s="303"/>
      <c r="AL330" s="303"/>
      <c r="AM330" s="303"/>
      <c r="AN330" s="303"/>
      <c r="AO330" s="303"/>
      <c r="AP330" s="163"/>
    </row>
    <row r="331" spans="2:42" x14ac:dyDescent="0.3">
      <c r="B331" s="6"/>
      <c r="C331" s="6"/>
      <c r="D331" s="6">
        <f t="shared" si="25"/>
        <v>8</v>
      </c>
      <c r="E331" s="640" t="str">
        <f t="shared" si="24"/>
        <v>Full Eq DoD Cycle</v>
      </c>
      <c r="F331" s="303"/>
      <c r="G331" s="303"/>
      <c r="H331" s="313"/>
      <c r="I331" s="308">
        <v>365.00000000000142</v>
      </c>
      <c r="J331" s="308">
        <v>346.8160814036238</v>
      </c>
      <c r="K331" s="308">
        <v>259.32005918950381</v>
      </c>
      <c r="L331" s="618">
        <v>244.59409550320433</v>
      </c>
      <c r="M331" s="618">
        <v>258.34034714183326</v>
      </c>
      <c r="N331" s="618">
        <v>258.34034714183326</v>
      </c>
      <c r="O331" s="618">
        <v>258.34034714183326</v>
      </c>
      <c r="P331" s="618">
        <v>258.34034714183326</v>
      </c>
      <c r="Q331" s="618">
        <v>258.34034714183326</v>
      </c>
      <c r="R331" s="618">
        <v>323.65270894416699</v>
      </c>
      <c r="S331" s="618">
        <v>323.65270894416699</v>
      </c>
      <c r="T331" s="618">
        <v>323.65270894416699</v>
      </c>
      <c r="U331" s="618">
        <v>323.65270894416699</v>
      </c>
      <c r="V331" s="618">
        <v>323.65270894416699</v>
      </c>
      <c r="W331" s="618">
        <v>364.99999999999369</v>
      </c>
      <c r="X331" s="618">
        <v>364.99999999999369</v>
      </c>
      <c r="Y331" s="618">
        <v>364.99999999999369</v>
      </c>
      <c r="Z331" s="618">
        <v>364.99999999999369</v>
      </c>
      <c r="AA331" s="618">
        <v>364.99999999999369</v>
      </c>
      <c r="AB331" s="308">
        <v>364.99999999999369</v>
      </c>
      <c r="AC331" s="309"/>
      <c r="AD331" s="309"/>
      <c r="AE331" s="309"/>
      <c r="AF331" s="309"/>
      <c r="AG331" s="309"/>
      <c r="AH331" s="309"/>
      <c r="AI331" s="309"/>
      <c r="AJ331" s="309"/>
      <c r="AK331" s="309"/>
      <c r="AL331" s="309"/>
      <c r="AM331" s="309"/>
      <c r="AN331" s="309"/>
      <c r="AO331" s="309"/>
      <c r="AP331" s="163"/>
    </row>
    <row r="332" spans="2:42" x14ac:dyDescent="0.3">
      <c r="B332" s="6"/>
      <c r="C332" s="6"/>
      <c r="D332" s="6">
        <f t="shared" si="25"/>
        <v>8</v>
      </c>
      <c r="E332" s="640" t="str">
        <f t="shared" si="24"/>
        <v>Export MWh</v>
      </c>
      <c r="F332" s="303"/>
      <c r="G332" s="303"/>
      <c r="H332" s="313"/>
      <c r="I332" s="308">
        <v>1062.4780000000001</v>
      </c>
      <c r="J332" s="308">
        <v>965.92700000000002</v>
      </c>
      <c r="K332" s="308">
        <v>431.49700000000001</v>
      </c>
      <c r="L332" s="618">
        <v>447.32600000000002</v>
      </c>
      <c r="M332" s="618">
        <v>641.75199999999995</v>
      </c>
      <c r="N332" s="618">
        <v>777.52760000000001</v>
      </c>
      <c r="O332" s="618">
        <v>913.30320000000006</v>
      </c>
      <c r="P332" s="618">
        <v>1049.0788</v>
      </c>
      <c r="Q332" s="618">
        <v>1184.8543999999999</v>
      </c>
      <c r="R332" s="618">
        <v>1320.63</v>
      </c>
      <c r="S332" s="618">
        <v>1398.904</v>
      </c>
      <c r="T332" s="618">
        <v>1477.1779999999999</v>
      </c>
      <c r="U332" s="618">
        <v>1555.4519999999998</v>
      </c>
      <c r="V332" s="618">
        <v>1633.7259999999997</v>
      </c>
      <c r="W332" s="618">
        <v>1712</v>
      </c>
      <c r="X332" s="618">
        <v>1736.7564</v>
      </c>
      <c r="Y332" s="618">
        <v>1761.5128</v>
      </c>
      <c r="Z332" s="618">
        <v>1786.2692</v>
      </c>
      <c r="AA332" s="618">
        <v>1811.0255999999999</v>
      </c>
      <c r="AB332" s="308">
        <v>1835.7819999999999</v>
      </c>
      <c r="AC332" s="309"/>
      <c r="AD332" s="309"/>
      <c r="AE332" s="309"/>
      <c r="AF332" s="309"/>
      <c r="AG332" s="309"/>
      <c r="AH332" s="309"/>
      <c r="AI332" s="309"/>
      <c r="AJ332" s="309"/>
      <c r="AK332" s="309"/>
      <c r="AL332" s="309"/>
      <c r="AM332" s="309"/>
      <c r="AN332" s="309"/>
      <c r="AO332" s="309"/>
      <c r="AP332" s="163"/>
    </row>
    <row r="333" spans="2:42" x14ac:dyDescent="0.3">
      <c r="B333" s="6"/>
      <c r="C333" s="6"/>
      <c r="D333" s="6">
        <f t="shared" si="25"/>
        <v>8</v>
      </c>
      <c r="E333" s="640" t="str">
        <f t="shared" si="24"/>
        <v>Charge MWh</v>
      </c>
      <c r="F333" s="303"/>
      <c r="G333" s="303"/>
      <c r="H333" s="313"/>
      <c r="I333" s="311"/>
      <c r="J333" s="311"/>
      <c r="K333" s="311"/>
      <c r="L333" s="619"/>
      <c r="M333" s="619"/>
      <c r="N333" s="619"/>
      <c r="O333" s="619"/>
      <c r="P333" s="619"/>
      <c r="Q333" s="619"/>
      <c r="R333" s="619"/>
      <c r="S333" s="619"/>
      <c r="T333" s="619"/>
      <c r="U333" s="619"/>
      <c r="V333" s="619"/>
      <c r="W333" s="619"/>
      <c r="X333" s="619"/>
      <c r="Y333" s="619"/>
      <c r="Z333" s="619"/>
      <c r="AA333" s="619"/>
      <c r="AB333" s="311"/>
      <c r="AC333" s="313"/>
      <c r="AD333" s="313"/>
      <c r="AE333" s="313"/>
      <c r="AF333" s="313"/>
      <c r="AG333" s="313"/>
      <c r="AH333" s="313"/>
      <c r="AI333" s="313"/>
      <c r="AJ333" s="313"/>
      <c r="AK333" s="313"/>
      <c r="AL333" s="313"/>
      <c r="AM333" s="313"/>
      <c r="AN333" s="313"/>
      <c r="AO333" s="313"/>
      <c r="AP333" s="163"/>
    </row>
    <row r="334" spans="2:42" x14ac:dyDescent="0.3">
      <c r="B334" s="6"/>
      <c r="C334" s="6"/>
      <c r="D334" s="6">
        <f t="shared" si="25"/>
        <v>8</v>
      </c>
      <c r="E334" s="641" t="str">
        <f t="shared" si="24"/>
        <v>Total ESS Charge MWh</v>
      </c>
      <c r="F334" s="303"/>
      <c r="G334" s="303"/>
      <c r="H334" s="313"/>
      <c r="I334" s="308">
        <v>3426.6335713593821</v>
      </c>
      <c r="J334" s="308">
        <v>3255.5002950033991</v>
      </c>
      <c r="K334" s="308">
        <v>2432.0539696001902</v>
      </c>
      <c r="L334" s="618">
        <v>2293.4643471390727</v>
      </c>
      <c r="M334" s="618">
        <v>2422.8336614628288</v>
      </c>
      <c r="N334" s="618">
        <v>2422.8336614628288</v>
      </c>
      <c r="O334" s="618">
        <v>2422.8336614628288</v>
      </c>
      <c r="P334" s="618">
        <v>2422.8336614628288</v>
      </c>
      <c r="Q334" s="618">
        <v>2422.8336614628288</v>
      </c>
      <c r="R334" s="618">
        <v>3037.504168402259</v>
      </c>
      <c r="S334" s="618">
        <v>3037.504168402259</v>
      </c>
      <c r="T334" s="618">
        <v>3037.504168402259</v>
      </c>
      <c r="U334" s="618">
        <v>3037.504168402259</v>
      </c>
      <c r="V334" s="618">
        <v>3037.504168402259</v>
      </c>
      <c r="W334" s="618">
        <v>3426.6335713593103</v>
      </c>
      <c r="X334" s="618">
        <v>3426.6335713593103</v>
      </c>
      <c r="Y334" s="618">
        <v>3426.6335713593103</v>
      </c>
      <c r="Z334" s="618">
        <v>3426.6335713593103</v>
      </c>
      <c r="AA334" s="618">
        <v>3426.6335713593103</v>
      </c>
      <c r="AB334" s="308">
        <v>3426.6335713593094</v>
      </c>
      <c r="AC334" s="309"/>
      <c r="AD334" s="309"/>
      <c r="AE334" s="309"/>
      <c r="AF334" s="309"/>
      <c r="AG334" s="309"/>
      <c r="AH334" s="309"/>
      <c r="AI334" s="309"/>
      <c r="AJ334" s="309"/>
      <c r="AK334" s="309"/>
      <c r="AL334" s="309"/>
      <c r="AM334" s="309"/>
      <c r="AN334" s="309"/>
      <c r="AO334" s="309"/>
      <c r="AP334" s="163"/>
    </row>
    <row r="335" spans="2:42" x14ac:dyDescent="0.3">
      <c r="B335" s="6"/>
      <c r="C335" s="6"/>
      <c r="D335" s="6">
        <f t="shared" si="25"/>
        <v>8</v>
      </c>
      <c r="E335" s="642" t="str">
        <f t="shared" si="24"/>
        <v>Avg Generation Capacity</v>
      </c>
      <c r="F335" s="303"/>
      <c r="G335" s="303"/>
      <c r="H335" s="313"/>
      <c r="I335" s="308">
        <v>1.4194876663022362</v>
      </c>
      <c r="J335" s="308">
        <v>0.95723000390890978</v>
      </c>
      <c r="K335" s="308">
        <v>1.8260070443991752</v>
      </c>
      <c r="L335" s="308">
        <v>1.4964662563295035</v>
      </c>
      <c r="M335" s="308">
        <v>0.71950806690565994</v>
      </c>
      <c r="N335" s="308">
        <v>0.65988234488176034</v>
      </c>
      <c r="O335" s="308">
        <v>0.60025662285786074</v>
      </c>
      <c r="P335" s="308">
        <v>0.54063090083396115</v>
      </c>
      <c r="Q335" s="308">
        <v>0.48100517881006155</v>
      </c>
      <c r="R335" s="308">
        <v>0.42137945678616195</v>
      </c>
      <c r="S335" s="308">
        <v>1.2975691626619981</v>
      </c>
      <c r="T335" s="308">
        <v>2.173758868537834</v>
      </c>
      <c r="U335" s="308">
        <v>3.0499485744136701</v>
      </c>
      <c r="V335" s="308">
        <v>3.9261382802895062</v>
      </c>
      <c r="W335" s="308">
        <v>4.8023279861653423</v>
      </c>
      <c r="X335" s="308">
        <v>3.9452258722817972</v>
      </c>
      <c r="Y335" s="308">
        <v>3.0881237583982521</v>
      </c>
      <c r="Z335" s="308">
        <v>2.2310216445147071</v>
      </c>
      <c r="AA335" s="308">
        <v>1.373919530631162</v>
      </c>
      <c r="AB335" s="308">
        <v>0.51681741674761739</v>
      </c>
      <c r="AC335" s="309"/>
      <c r="AD335" s="309"/>
      <c r="AE335" s="309"/>
      <c r="AF335" s="309"/>
      <c r="AG335" s="309"/>
      <c r="AH335" s="309"/>
      <c r="AI335" s="309"/>
      <c r="AJ335" s="309"/>
      <c r="AK335" s="309"/>
      <c r="AL335" s="309"/>
      <c r="AM335" s="309"/>
      <c r="AN335" s="309"/>
      <c r="AO335" s="309"/>
      <c r="AP335" s="163"/>
    </row>
    <row r="336" spans="2:42" x14ac:dyDescent="0.3">
      <c r="B336" s="6"/>
      <c r="C336" s="6"/>
      <c r="D336" s="6">
        <f t="shared" si="25"/>
        <v>8</v>
      </c>
      <c r="E336" s="642" t="str">
        <f t="shared" si="24"/>
        <v>Avg Transmission Capacity</v>
      </c>
      <c r="F336" s="303"/>
      <c r="G336" s="303"/>
      <c r="H336" s="313"/>
      <c r="I336" s="308">
        <v>1.4194876663022362</v>
      </c>
      <c r="J336" s="308">
        <v>0.95723000390890978</v>
      </c>
      <c r="K336" s="308">
        <v>1.8260070443991752</v>
      </c>
      <c r="L336" s="308">
        <v>1.4964662563295035</v>
      </c>
      <c r="M336" s="308">
        <v>0.71950806690565994</v>
      </c>
      <c r="N336" s="308">
        <v>0.65988234488176034</v>
      </c>
      <c r="O336" s="308">
        <v>0.60025662285786074</v>
      </c>
      <c r="P336" s="308">
        <v>0.54063090083396115</v>
      </c>
      <c r="Q336" s="308">
        <v>0.48100517881006155</v>
      </c>
      <c r="R336" s="308">
        <v>0.42137945678616195</v>
      </c>
      <c r="S336" s="308">
        <v>1.2975691626619981</v>
      </c>
      <c r="T336" s="308">
        <v>2.173758868537834</v>
      </c>
      <c r="U336" s="308">
        <v>3.0499485744136701</v>
      </c>
      <c r="V336" s="308">
        <v>3.9261382802895062</v>
      </c>
      <c r="W336" s="308">
        <v>4.8023279861653423</v>
      </c>
      <c r="X336" s="308">
        <v>5.6525311835997405</v>
      </c>
      <c r="Y336" s="308">
        <v>6.5027343810341387</v>
      </c>
      <c r="Z336" s="308">
        <v>7.3529375784685369</v>
      </c>
      <c r="AA336" s="308">
        <v>8.203140775902936</v>
      </c>
      <c r="AB336" s="308">
        <v>9.0533439733373342</v>
      </c>
      <c r="AC336" s="309"/>
      <c r="AD336" s="309"/>
      <c r="AE336" s="309"/>
      <c r="AF336" s="309"/>
      <c r="AG336" s="309"/>
      <c r="AH336" s="309"/>
      <c r="AI336" s="309"/>
      <c r="AJ336" s="309"/>
      <c r="AK336" s="309"/>
      <c r="AL336" s="309"/>
      <c r="AM336" s="309"/>
      <c r="AN336" s="309"/>
      <c r="AO336" s="309"/>
      <c r="AP336" s="163"/>
    </row>
    <row r="337" spans="2:42" x14ac:dyDescent="0.3">
      <c r="B337" s="6"/>
      <c r="C337" s="6"/>
      <c r="D337" s="6">
        <f t="shared" si="25"/>
        <v>8</v>
      </c>
      <c r="E337" s="642" t="str">
        <f t="shared" si="24"/>
        <v>Avg Distribution Capacity</v>
      </c>
      <c r="F337" s="303"/>
      <c r="G337" s="303"/>
      <c r="H337" s="313"/>
      <c r="I337" s="308">
        <v>7.1508314208812731</v>
      </c>
      <c r="J337" s="308">
        <v>4.1324055931730488</v>
      </c>
      <c r="K337" s="308">
        <v>4.3285669220572984</v>
      </c>
      <c r="L337" s="618">
        <v>5.5133249037904362</v>
      </c>
      <c r="M337" s="618">
        <v>4.6915262072033705</v>
      </c>
      <c r="N337" s="618">
        <v>4.2181605189598184</v>
      </c>
      <c r="O337" s="618">
        <v>3.7447948307162662</v>
      </c>
      <c r="P337" s="618">
        <v>3.271429142472714</v>
      </c>
      <c r="Q337" s="618">
        <v>2.7980634542291618</v>
      </c>
      <c r="R337" s="618">
        <v>2.3246977659856105</v>
      </c>
      <c r="S337" s="618">
        <v>3.3276679525729644</v>
      </c>
      <c r="T337" s="618">
        <v>4.3306381391603184</v>
      </c>
      <c r="U337" s="618">
        <v>5.3336083257476723</v>
      </c>
      <c r="V337" s="618">
        <v>6.3365785123350262</v>
      </c>
      <c r="W337" s="618">
        <v>7.339548698922381</v>
      </c>
      <c r="X337" s="618">
        <v>7.6823077538053717</v>
      </c>
      <c r="Y337" s="618">
        <v>8.0250668086883614</v>
      </c>
      <c r="Z337" s="618">
        <v>8.3678258635713512</v>
      </c>
      <c r="AA337" s="618">
        <v>8.7105849184543409</v>
      </c>
      <c r="AB337" s="308">
        <v>9.0533439733373342</v>
      </c>
      <c r="AC337" s="309"/>
      <c r="AD337" s="309"/>
      <c r="AE337" s="309"/>
      <c r="AF337" s="309"/>
      <c r="AG337" s="309"/>
      <c r="AH337" s="309"/>
      <c r="AI337" s="309"/>
      <c r="AJ337" s="309"/>
      <c r="AK337" s="309"/>
      <c r="AL337" s="309"/>
      <c r="AM337" s="309"/>
      <c r="AN337" s="309"/>
      <c r="AO337" s="309"/>
      <c r="AP337" s="163"/>
    </row>
    <row r="338" spans="2:42" x14ac:dyDescent="0.3">
      <c r="B338" s="6"/>
      <c r="C338" s="6"/>
      <c r="D338" s="6">
        <f t="shared" si="25"/>
        <v>8</v>
      </c>
      <c r="E338" s="642" t="str">
        <f t="shared" si="24"/>
        <v>GHG Impacts</v>
      </c>
      <c r="F338" s="303"/>
      <c r="G338" s="303"/>
      <c r="H338" s="313"/>
      <c r="I338" s="308">
        <v>3425.8857092499052</v>
      </c>
      <c r="J338" s="308">
        <v>3249.2580707800435</v>
      </c>
      <c r="K338" s="308">
        <v>2412.7300151820205</v>
      </c>
      <c r="L338" s="618">
        <v>2253.5853073240901</v>
      </c>
      <c r="M338" s="618">
        <v>2271.0388217423433</v>
      </c>
      <c r="N338" s="618">
        <v>2173.8822168619463</v>
      </c>
      <c r="O338" s="618">
        <v>2076.7256119815493</v>
      </c>
      <c r="P338" s="618">
        <v>1979.569007101152</v>
      </c>
      <c r="Q338" s="618">
        <v>1882.4124022207548</v>
      </c>
      <c r="R338" s="618">
        <v>1785.2557973403573</v>
      </c>
      <c r="S338" s="618">
        <v>1682.4764501909935</v>
      </c>
      <c r="T338" s="618">
        <v>1579.6971030416298</v>
      </c>
      <c r="U338" s="618">
        <v>1476.9177558922661</v>
      </c>
      <c r="V338" s="618">
        <v>1374.1384087429024</v>
      </c>
      <c r="W338" s="618">
        <v>1271.3590615935384</v>
      </c>
      <c r="X338" s="618">
        <v>1155.0071092421017</v>
      </c>
      <c r="Y338" s="618">
        <v>1038.655156890665</v>
      </c>
      <c r="Z338" s="618">
        <v>922.30320453922832</v>
      </c>
      <c r="AA338" s="618">
        <v>805.95125218779162</v>
      </c>
      <c r="AB338" s="308">
        <v>689.59929983635516</v>
      </c>
      <c r="AC338" s="309"/>
      <c r="AD338" s="309"/>
      <c r="AE338" s="309"/>
      <c r="AF338" s="309"/>
      <c r="AG338" s="309"/>
      <c r="AH338" s="309"/>
      <c r="AI338" s="309"/>
      <c r="AJ338" s="309"/>
      <c r="AK338" s="309"/>
      <c r="AL338" s="309"/>
      <c r="AM338" s="309"/>
      <c r="AN338" s="309"/>
      <c r="AO338" s="309"/>
      <c r="AP338" s="163"/>
    </row>
    <row r="339" spans="2:42" x14ac:dyDescent="0.3">
      <c r="B339" s="6"/>
      <c r="C339" s="6"/>
      <c r="D339" s="6">
        <f t="shared" si="25"/>
        <v>8</v>
      </c>
      <c r="E339" s="642" t="str">
        <f t="shared" si="24"/>
        <v>Market Price Effects - Wholesale Energy</v>
      </c>
      <c r="F339" s="303"/>
      <c r="G339" s="303"/>
      <c r="H339" s="313"/>
      <c r="I339" s="308">
        <v>3426.6335713593703</v>
      </c>
      <c r="J339" s="308">
        <v>3255.5002950033972</v>
      </c>
      <c r="K339" s="308">
        <v>2432.053969600192</v>
      </c>
      <c r="L339" s="618">
        <v>2293.4643471390655</v>
      </c>
      <c r="M339" s="618">
        <v>2422.833661462827</v>
      </c>
      <c r="N339" s="618">
        <v>2545.7677628507113</v>
      </c>
      <c r="O339" s="618">
        <v>2668.7018642385956</v>
      </c>
      <c r="P339" s="618">
        <v>2791.6359656264799</v>
      </c>
      <c r="Q339" s="618">
        <v>2914.5700670143642</v>
      </c>
      <c r="R339" s="618">
        <v>3037.5041684022494</v>
      </c>
      <c r="S339" s="618">
        <v>3115.3300489936591</v>
      </c>
      <c r="T339" s="618">
        <v>3193.1559295850689</v>
      </c>
      <c r="U339" s="618">
        <v>3270.9818101764786</v>
      </c>
      <c r="V339" s="618">
        <v>3348.8076907678883</v>
      </c>
      <c r="W339" s="618">
        <v>3426.6335713592985</v>
      </c>
      <c r="X339" s="618">
        <v>3426.6335713592994</v>
      </c>
      <c r="Y339" s="618">
        <v>3426.6335713593003</v>
      </c>
      <c r="Z339" s="618">
        <v>3426.6335713593012</v>
      </c>
      <c r="AA339" s="618">
        <v>3426.6335713593021</v>
      </c>
      <c r="AB339" s="308">
        <v>3426.633571359303</v>
      </c>
      <c r="AC339" s="309"/>
      <c r="AD339" s="309"/>
      <c r="AE339" s="309"/>
      <c r="AF339" s="309"/>
      <c r="AG339" s="309"/>
      <c r="AH339" s="309"/>
      <c r="AI339" s="309"/>
      <c r="AJ339" s="309"/>
      <c r="AK339" s="309"/>
      <c r="AL339" s="309"/>
      <c r="AM339" s="309"/>
      <c r="AN339" s="309"/>
      <c r="AO339" s="309"/>
      <c r="AP339" s="163"/>
    </row>
    <row r="340" spans="2:42" x14ac:dyDescent="0.3">
      <c r="B340" s="6"/>
      <c r="C340" s="6"/>
      <c r="D340" s="6">
        <f t="shared" si="25"/>
        <v>8</v>
      </c>
      <c r="E340" s="643" t="str">
        <f t="shared" si="24"/>
        <v>Market Price Effects - Wholesale Capacity</v>
      </c>
      <c r="F340" s="303"/>
      <c r="H340" s="217"/>
      <c r="I340" s="308">
        <v>0</v>
      </c>
      <c r="J340" s="308">
        <v>0</v>
      </c>
      <c r="K340" s="308">
        <v>0</v>
      </c>
      <c r="L340" s="618">
        <v>0</v>
      </c>
      <c r="M340" s="618">
        <v>0</v>
      </c>
      <c r="N340" s="618">
        <v>0</v>
      </c>
      <c r="O340" s="618">
        <v>0</v>
      </c>
      <c r="P340" s="618">
        <v>0</v>
      </c>
      <c r="Q340" s="618">
        <v>0</v>
      </c>
      <c r="R340" s="618">
        <v>0</v>
      </c>
      <c r="S340" s="618">
        <v>0</v>
      </c>
      <c r="T340" s="618">
        <v>0</v>
      </c>
      <c r="U340" s="618">
        <v>0</v>
      </c>
      <c r="V340" s="618">
        <v>0</v>
      </c>
      <c r="W340" s="618">
        <v>0</v>
      </c>
      <c r="X340" s="618">
        <v>0</v>
      </c>
      <c r="Y340" s="618">
        <v>0</v>
      </c>
      <c r="Z340" s="618">
        <v>0</v>
      </c>
      <c r="AA340" s="618">
        <v>0</v>
      </c>
      <c r="AB340" s="308">
        <v>0</v>
      </c>
      <c r="AC340" s="309"/>
      <c r="AD340" s="309"/>
      <c r="AE340" s="309"/>
      <c r="AF340" s="309"/>
      <c r="AG340" s="309"/>
      <c r="AH340" s="309"/>
      <c r="AI340" s="309"/>
      <c r="AJ340" s="309"/>
      <c r="AK340" s="309"/>
      <c r="AL340" s="309"/>
      <c r="AM340" s="309"/>
      <c r="AN340" s="309"/>
      <c r="AO340" s="309"/>
      <c r="AP340" s="163"/>
    </row>
    <row r="341" spans="2:42" x14ac:dyDescent="0.3">
      <c r="B341" s="6"/>
      <c r="C341" s="6"/>
      <c r="D341" s="6">
        <f t="shared" si="25"/>
        <v>8</v>
      </c>
      <c r="E341" s="640" t="str">
        <f t="shared" si="24"/>
        <v>Disharge MWh</v>
      </c>
      <c r="H341" s="217"/>
      <c r="I341" s="505"/>
      <c r="J341" s="505"/>
      <c r="K341" s="505"/>
      <c r="L341" s="505"/>
      <c r="M341" s="505"/>
      <c r="N341" s="505"/>
      <c r="O341" s="505"/>
      <c r="P341" s="505"/>
      <c r="Q341" s="505"/>
      <c r="R341" s="505"/>
      <c r="S341" s="505"/>
      <c r="T341" s="505"/>
      <c r="U341" s="505"/>
      <c r="V341" s="505"/>
      <c r="W341" s="505"/>
      <c r="X341" s="505"/>
      <c r="Y341" s="505"/>
      <c r="Z341" s="505"/>
      <c r="AA341" s="505"/>
      <c r="AB341" s="505"/>
      <c r="AC341" s="15"/>
      <c r="AD341" s="15"/>
      <c r="AE341" s="15"/>
      <c r="AF341" s="15"/>
      <c r="AG341" s="15"/>
      <c r="AH341" s="15"/>
      <c r="AI341" s="15"/>
      <c r="AJ341" s="15"/>
      <c r="AK341" s="15"/>
      <c r="AL341" s="15"/>
      <c r="AM341" s="15"/>
      <c r="AN341" s="15"/>
      <c r="AO341" s="15"/>
      <c r="AP341" s="163"/>
    </row>
    <row r="342" spans="2:42" x14ac:dyDescent="0.3">
      <c r="B342" s="6"/>
      <c r="C342" s="6"/>
      <c r="D342" s="6">
        <f t="shared" si="25"/>
        <v>8</v>
      </c>
      <c r="E342" s="641" t="str">
        <f t="shared" si="24"/>
        <v>Total ESS DCharge MWh</v>
      </c>
      <c r="H342" s="217"/>
      <c r="I342" s="308">
        <v>2920.0000000000114</v>
      </c>
      <c r="J342" s="308">
        <v>2774.5286512289904</v>
      </c>
      <c r="K342" s="308">
        <v>2074.5604735160305</v>
      </c>
      <c r="L342" s="618">
        <v>1956.7527640256346</v>
      </c>
      <c r="M342" s="618">
        <v>2066.7227771346661</v>
      </c>
      <c r="N342" s="618">
        <v>2066.7227771346661</v>
      </c>
      <c r="O342" s="618">
        <v>2066.7227771346661</v>
      </c>
      <c r="P342" s="618">
        <v>2066.7227771346661</v>
      </c>
      <c r="Q342" s="618">
        <v>2066.7227771346661</v>
      </c>
      <c r="R342" s="618">
        <v>2589.2216715533359</v>
      </c>
      <c r="S342" s="618">
        <v>2589.2216715533359</v>
      </c>
      <c r="T342" s="618">
        <v>2589.2216715533359</v>
      </c>
      <c r="U342" s="618">
        <v>2589.2216715533359</v>
      </c>
      <c r="V342" s="618">
        <v>2589.2216715533359</v>
      </c>
      <c r="W342" s="618">
        <v>2919.9999999999495</v>
      </c>
      <c r="X342" s="618">
        <v>2919.9999999999495</v>
      </c>
      <c r="Y342" s="618">
        <v>2919.9999999999495</v>
      </c>
      <c r="Z342" s="618">
        <v>2919.9999999999495</v>
      </c>
      <c r="AA342" s="618">
        <v>2919.9999999999495</v>
      </c>
      <c r="AB342" s="308">
        <v>2919.9999999999495</v>
      </c>
      <c r="AC342" s="309"/>
      <c r="AD342" s="309"/>
      <c r="AE342" s="309"/>
      <c r="AF342" s="309"/>
      <c r="AG342" s="309"/>
      <c r="AH342" s="309"/>
      <c r="AI342" s="309"/>
      <c r="AJ342" s="309"/>
      <c r="AK342" s="309"/>
      <c r="AL342" s="309"/>
      <c r="AM342" s="309"/>
      <c r="AN342" s="309"/>
      <c r="AO342" s="309"/>
      <c r="AP342" s="163"/>
    </row>
    <row r="343" spans="2:42" x14ac:dyDescent="0.3">
      <c r="B343" s="6"/>
      <c r="C343" s="6"/>
      <c r="D343" s="6">
        <f t="shared" si="25"/>
        <v>8</v>
      </c>
      <c r="E343" s="642" t="str">
        <f t="shared" si="24"/>
        <v>Avg Generation Capacity</v>
      </c>
      <c r="F343" s="303"/>
      <c r="H343" s="217"/>
      <c r="I343" s="308">
        <v>180.59384977528441</v>
      </c>
      <c r="J343" s="308">
        <v>184.95427617784961</v>
      </c>
      <c r="K343" s="308">
        <v>183.75600117558386</v>
      </c>
      <c r="L343" s="618">
        <v>183.4397924509226</v>
      </c>
      <c r="M343" s="618">
        <v>185.66733203983384</v>
      </c>
      <c r="N343" s="618">
        <v>190.25908735071707</v>
      </c>
      <c r="O343" s="618">
        <v>194.8508426616003</v>
      </c>
      <c r="P343" s="618">
        <v>199.44259797248353</v>
      </c>
      <c r="Q343" s="618">
        <v>204.03435328336676</v>
      </c>
      <c r="R343" s="618">
        <v>208.62610859425004</v>
      </c>
      <c r="S343" s="618">
        <v>208.71332366058138</v>
      </c>
      <c r="T343" s="618">
        <v>208.80053872691272</v>
      </c>
      <c r="U343" s="618">
        <v>208.88775379324406</v>
      </c>
      <c r="V343" s="618">
        <v>208.9749688595754</v>
      </c>
      <c r="W343" s="618">
        <v>209.06218392590671</v>
      </c>
      <c r="X343" s="618">
        <v>206.41572204340272</v>
      </c>
      <c r="Y343" s="618">
        <v>203.76926016089874</v>
      </c>
      <c r="Z343" s="618">
        <v>201.12279827839475</v>
      </c>
      <c r="AA343" s="618">
        <v>198.47633639589077</v>
      </c>
      <c r="AB343" s="308">
        <v>195.82987451338678</v>
      </c>
      <c r="AC343" s="309"/>
      <c r="AD343" s="309"/>
      <c r="AE343" s="309"/>
      <c r="AF343" s="309"/>
      <c r="AG343" s="309"/>
      <c r="AH343" s="309"/>
      <c r="AI343" s="309"/>
      <c r="AJ343" s="309"/>
      <c r="AK343" s="309"/>
      <c r="AL343" s="309"/>
      <c r="AM343" s="309"/>
      <c r="AN343" s="309"/>
      <c r="AO343" s="309"/>
      <c r="AP343" s="163"/>
    </row>
    <row r="344" spans="2:42" x14ac:dyDescent="0.3">
      <c r="B344" s="6"/>
      <c r="C344" s="6"/>
      <c r="D344" s="6">
        <f t="shared" si="25"/>
        <v>8</v>
      </c>
      <c r="E344" s="642" t="str">
        <f t="shared" si="24"/>
        <v>Avg Transmission Capacity</v>
      </c>
      <c r="F344" s="303"/>
      <c r="H344" s="217"/>
      <c r="I344" s="308">
        <v>180.59384977528441</v>
      </c>
      <c r="J344" s="308">
        <v>184.95427617784961</v>
      </c>
      <c r="K344" s="308">
        <v>183.75600117558386</v>
      </c>
      <c r="L344" s="618">
        <v>183.4397924509226</v>
      </c>
      <c r="M344" s="618">
        <v>185.66733203983384</v>
      </c>
      <c r="N344" s="618">
        <v>190.25908735071707</v>
      </c>
      <c r="O344" s="618">
        <v>194.8508426616003</v>
      </c>
      <c r="P344" s="618">
        <v>199.44259797248353</v>
      </c>
      <c r="Q344" s="618">
        <v>204.03435328336676</v>
      </c>
      <c r="R344" s="618">
        <v>208.62610859425004</v>
      </c>
      <c r="S344" s="618">
        <v>208.71332366058138</v>
      </c>
      <c r="T344" s="618">
        <v>208.80053872691272</v>
      </c>
      <c r="U344" s="618">
        <v>208.88775379324406</v>
      </c>
      <c r="V344" s="618">
        <v>208.9749688595754</v>
      </c>
      <c r="W344" s="618">
        <v>209.06218392590671</v>
      </c>
      <c r="X344" s="618">
        <v>206.41572204340272</v>
      </c>
      <c r="Y344" s="618">
        <v>203.76926016089874</v>
      </c>
      <c r="Z344" s="618">
        <v>201.12279827839475</v>
      </c>
      <c r="AA344" s="618">
        <v>198.47633639589077</v>
      </c>
      <c r="AB344" s="308">
        <v>195.82987451338678</v>
      </c>
      <c r="AC344" s="309"/>
      <c r="AD344" s="309"/>
      <c r="AE344" s="309"/>
      <c r="AF344" s="309"/>
      <c r="AG344" s="309"/>
      <c r="AH344" s="309"/>
      <c r="AI344" s="309"/>
      <c r="AJ344" s="309"/>
      <c r="AK344" s="309"/>
      <c r="AL344" s="309"/>
      <c r="AM344" s="309"/>
      <c r="AN344" s="309"/>
      <c r="AO344" s="309"/>
      <c r="AP344" s="163"/>
    </row>
    <row r="345" spans="2:42" x14ac:dyDescent="0.3">
      <c r="B345" s="6"/>
      <c r="C345" s="6"/>
      <c r="D345" s="6">
        <f t="shared" si="25"/>
        <v>8</v>
      </c>
      <c r="E345" s="642" t="str">
        <f t="shared" si="24"/>
        <v>Avg Distribution Capacity</v>
      </c>
      <c r="F345" s="303"/>
      <c r="H345" s="217"/>
      <c r="I345" s="308">
        <v>115.1746554711536</v>
      </c>
      <c r="J345" s="308">
        <v>134.94352075915953</v>
      </c>
      <c r="K345" s="308">
        <v>153.73493748219403</v>
      </c>
      <c r="L345" s="618">
        <v>158.80502168277181</v>
      </c>
      <c r="M345" s="618">
        <v>175.97644295599702</v>
      </c>
      <c r="N345" s="618">
        <v>179.45565280740865</v>
      </c>
      <c r="O345" s="618">
        <v>182.93486265882029</v>
      </c>
      <c r="P345" s="618">
        <v>186.41407251023193</v>
      </c>
      <c r="Q345" s="618">
        <v>189.89328236164357</v>
      </c>
      <c r="R345" s="618">
        <v>193.37249221305527</v>
      </c>
      <c r="S345" s="618">
        <v>193.68579611541958</v>
      </c>
      <c r="T345" s="618">
        <v>193.99910001778389</v>
      </c>
      <c r="U345" s="618">
        <v>194.3124039201482</v>
      </c>
      <c r="V345" s="618">
        <v>194.62570782251251</v>
      </c>
      <c r="W345" s="618">
        <v>194.93901172487676</v>
      </c>
      <c r="X345" s="618">
        <v>193.24441935920635</v>
      </c>
      <c r="Y345" s="618">
        <v>191.54982699353593</v>
      </c>
      <c r="Z345" s="618">
        <v>189.85523462786551</v>
      </c>
      <c r="AA345" s="618">
        <v>188.1606422621951</v>
      </c>
      <c r="AB345" s="308">
        <v>186.46604989652462</v>
      </c>
      <c r="AC345" s="309"/>
      <c r="AD345" s="309"/>
      <c r="AE345" s="309"/>
      <c r="AF345" s="309"/>
      <c r="AG345" s="309"/>
      <c r="AH345" s="309"/>
      <c r="AI345" s="309"/>
      <c r="AJ345" s="309"/>
      <c r="AK345" s="309"/>
      <c r="AL345" s="309"/>
      <c r="AM345" s="309"/>
      <c r="AN345" s="309"/>
      <c r="AO345" s="309"/>
      <c r="AP345" s="163"/>
    </row>
    <row r="346" spans="2:42" x14ac:dyDescent="0.3">
      <c r="B346" s="6"/>
      <c r="C346" s="6"/>
      <c r="D346" s="6">
        <f t="shared" si="25"/>
        <v>8</v>
      </c>
      <c r="E346" s="642" t="str">
        <f t="shared" si="24"/>
        <v>GHG Impacts</v>
      </c>
      <c r="F346" s="303"/>
      <c r="H346" s="217"/>
      <c r="I346" s="308">
        <v>2919.8558129331059</v>
      </c>
      <c r="J346" s="308">
        <v>2773.1981887352053</v>
      </c>
      <c r="K346" s="308">
        <v>2070.4668441730819</v>
      </c>
      <c r="L346" s="618">
        <v>1948.1753774393153</v>
      </c>
      <c r="M346" s="618">
        <v>2053.8338364272422</v>
      </c>
      <c r="N346" s="618">
        <v>2154.0696289814368</v>
      </c>
      <c r="O346" s="618">
        <v>2254.3054215356315</v>
      </c>
      <c r="P346" s="618">
        <v>2354.5412140898261</v>
      </c>
      <c r="Q346" s="618">
        <v>2454.7770066440207</v>
      </c>
      <c r="R346" s="618">
        <v>2555.0127991982163</v>
      </c>
      <c r="S346" s="618">
        <v>2617.1376467288705</v>
      </c>
      <c r="T346" s="618">
        <v>2679.2624942595248</v>
      </c>
      <c r="U346" s="618">
        <v>2741.3873417901791</v>
      </c>
      <c r="V346" s="618">
        <v>2803.5121893208334</v>
      </c>
      <c r="W346" s="618">
        <v>2865.6370368514886</v>
      </c>
      <c r="X346" s="618">
        <v>2858.5376025302089</v>
      </c>
      <c r="Y346" s="618">
        <v>2851.4381682089293</v>
      </c>
      <c r="Z346" s="618">
        <v>2844.3387338876496</v>
      </c>
      <c r="AA346" s="618">
        <v>2837.2392995663699</v>
      </c>
      <c r="AB346" s="308">
        <v>2830.1398652450903</v>
      </c>
      <c r="AC346" s="309"/>
      <c r="AD346" s="309"/>
      <c r="AE346" s="309"/>
      <c r="AF346" s="309"/>
      <c r="AG346" s="309"/>
      <c r="AH346" s="309"/>
      <c r="AI346" s="309"/>
      <c r="AJ346" s="309"/>
      <c r="AK346" s="309"/>
      <c r="AL346" s="309"/>
      <c r="AM346" s="309"/>
      <c r="AN346" s="309"/>
      <c r="AO346" s="309"/>
      <c r="AP346" s="163"/>
    </row>
    <row r="347" spans="2:42" x14ac:dyDescent="0.3">
      <c r="B347" s="6"/>
      <c r="C347" s="6"/>
      <c r="D347" s="6">
        <f t="shared" si="25"/>
        <v>8</v>
      </c>
      <c r="E347" s="642" t="str">
        <f t="shared" si="24"/>
        <v>Market Price Effects - Wholesale Energy</v>
      </c>
      <c r="F347" s="303"/>
      <c r="H347" s="217"/>
      <c r="I347" s="308">
        <v>2919.9999999999768</v>
      </c>
      <c r="J347" s="308">
        <v>2774.5286512289867</v>
      </c>
      <c r="K347" s="308">
        <v>2074.5604735160296</v>
      </c>
      <c r="L347" s="618">
        <v>1956.7527640256615</v>
      </c>
      <c r="M347" s="618">
        <v>2066.7227771346593</v>
      </c>
      <c r="N347" s="618">
        <v>2171.2225560183906</v>
      </c>
      <c r="O347" s="618">
        <v>2275.7223349021219</v>
      </c>
      <c r="P347" s="618">
        <v>2380.2221137858533</v>
      </c>
      <c r="Q347" s="618">
        <v>2484.7218926695846</v>
      </c>
      <c r="R347" s="618">
        <v>2589.2216715533164</v>
      </c>
      <c r="S347" s="618">
        <v>2655.3773372426394</v>
      </c>
      <c r="T347" s="618">
        <v>2721.5330029319625</v>
      </c>
      <c r="U347" s="618">
        <v>2787.6886686212856</v>
      </c>
      <c r="V347" s="618">
        <v>2853.8443343106087</v>
      </c>
      <c r="W347" s="618">
        <v>2919.9999999999309</v>
      </c>
      <c r="X347" s="618">
        <v>2919.9999999999327</v>
      </c>
      <c r="Y347" s="618">
        <v>2919.9999999999345</v>
      </c>
      <c r="Z347" s="618">
        <v>2919.9999999999363</v>
      </c>
      <c r="AA347" s="618">
        <v>2919.9999999999382</v>
      </c>
      <c r="AB347" s="308">
        <v>2919.9999999999409</v>
      </c>
      <c r="AC347" s="309"/>
      <c r="AD347" s="309"/>
      <c r="AE347" s="309"/>
      <c r="AF347" s="309"/>
      <c r="AG347" s="309"/>
      <c r="AH347" s="309"/>
      <c r="AI347" s="309"/>
      <c r="AJ347" s="309"/>
      <c r="AK347" s="309"/>
      <c r="AL347" s="309"/>
      <c r="AM347" s="309"/>
      <c r="AN347" s="309"/>
      <c r="AO347" s="309"/>
      <c r="AP347" s="163"/>
    </row>
    <row r="348" spans="2:42" x14ac:dyDescent="0.3">
      <c r="B348" s="6"/>
      <c r="C348" s="6"/>
      <c r="D348" s="6">
        <f t="shared" si="25"/>
        <v>8</v>
      </c>
      <c r="E348" s="642" t="str">
        <f t="shared" si="24"/>
        <v>Market Price Effects - Wholesale Capacity</v>
      </c>
      <c r="F348" s="303"/>
      <c r="H348" s="217"/>
      <c r="I348" s="308">
        <v>0</v>
      </c>
      <c r="J348" s="308">
        <v>0</v>
      </c>
      <c r="K348" s="308">
        <v>0</v>
      </c>
      <c r="L348" s="618">
        <v>0</v>
      </c>
      <c r="M348" s="618">
        <v>0</v>
      </c>
      <c r="N348" s="618">
        <v>0</v>
      </c>
      <c r="O348" s="618">
        <v>0</v>
      </c>
      <c r="P348" s="618">
        <v>0</v>
      </c>
      <c r="Q348" s="618">
        <v>0</v>
      </c>
      <c r="R348" s="618">
        <v>0</v>
      </c>
      <c r="S348" s="618">
        <v>0</v>
      </c>
      <c r="T348" s="618">
        <v>0</v>
      </c>
      <c r="U348" s="618">
        <v>0</v>
      </c>
      <c r="V348" s="618">
        <v>0</v>
      </c>
      <c r="W348" s="618">
        <v>0</v>
      </c>
      <c r="X348" s="618">
        <v>0</v>
      </c>
      <c r="Y348" s="618">
        <v>0</v>
      </c>
      <c r="Z348" s="618">
        <v>0</v>
      </c>
      <c r="AA348" s="618">
        <v>0</v>
      </c>
      <c r="AB348" s="308">
        <v>0</v>
      </c>
      <c r="AC348" s="309"/>
      <c r="AD348" s="309"/>
      <c r="AE348" s="309"/>
      <c r="AF348" s="309"/>
      <c r="AG348" s="309"/>
      <c r="AH348" s="309"/>
      <c r="AI348" s="309"/>
      <c r="AJ348" s="309"/>
      <c r="AK348" s="309"/>
      <c r="AL348" s="309"/>
      <c r="AM348" s="309"/>
      <c r="AN348" s="309"/>
      <c r="AO348" s="309"/>
      <c r="AP348" s="163"/>
    </row>
    <row r="349" spans="2:42" x14ac:dyDescent="0.3">
      <c r="B349" s="6"/>
      <c r="C349" s="6"/>
      <c r="D349" s="6">
        <f t="shared" si="25"/>
        <v>8</v>
      </c>
      <c r="E349" s="544"/>
      <c r="F349" s="545"/>
      <c r="G349" s="545"/>
      <c r="H349" s="545"/>
      <c r="I349" s="545"/>
      <c r="J349" s="545"/>
      <c r="K349" s="545"/>
      <c r="L349" s="545"/>
      <c r="M349" s="545"/>
      <c r="N349" s="545"/>
      <c r="O349" s="545"/>
      <c r="P349" s="545"/>
      <c r="Q349" s="545"/>
      <c r="R349" s="545"/>
      <c r="S349" s="545"/>
      <c r="T349" s="545"/>
      <c r="U349" s="545"/>
      <c r="V349" s="545"/>
      <c r="W349" s="545"/>
      <c r="X349" s="545"/>
      <c r="Y349" s="545"/>
      <c r="Z349" s="545"/>
      <c r="AA349" s="545"/>
      <c r="AB349" s="545"/>
      <c r="AC349" s="545"/>
      <c r="AD349" s="545"/>
      <c r="AE349" s="545"/>
      <c r="AF349" s="545"/>
      <c r="AG349" s="545"/>
      <c r="AH349" s="545"/>
      <c r="AI349" s="545"/>
      <c r="AJ349" s="545"/>
      <c r="AK349" s="545"/>
      <c r="AL349" s="545"/>
      <c r="AM349" s="545"/>
      <c r="AN349" s="545"/>
      <c r="AO349" s="545"/>
      <c r="AP349" s="543"/>
    </row>
    <row r="350" spans="2:42" ht="21" x14ac:dyDescent="0.4">
      <c r="B350" s="6"/>
      <c r="C350" s="6"/>
      <c r="D350" s="6">
        <f t="shared" si="25"/>
        <v>9</v>
      </c>
      <c r="E350" s="632" t="str">
        <f>_xlfn.CONCAT(revenueSimulationID," ",$D350,"|",INDEX(StdConfigDesc,$D350,$E$29))</f>
        <v>Case 9|FTM - Market Participant (2 MW / 4 MWh)</v>
      </c>
      <c r="F350" s="633"/>
      <c r="G350" s="633"/>
      <c r="H350" s="633"/>
      <c r="I350" s="633"/>
      <c r="J350" s="633"/>
      <c r="K350" s="633"/>
      <c r="L350" s="633"/>
      <c r="M350" s="633"/>
      <c r="N350" s="633"/>
      <c r="O350" s="633"/>
      <c r="P350" s="633"/>
      <c r="Q350" s="633"/>
      <c r="R350" s="633"/>
      <c r="S350" s="633"/>
      <c r="T350" s="633"/>
      <c r="U350" s="633"/>
      <c r="V350" s="633"/>
      <c r="W350" s="633"/>
      <c r="X350" s="633"/>
      <c r="Y350" s="633"/>
      <c r="Z350" s="633"/>
      <c r="AA350" s="633"/>
      <c r="AB350" s="633"/>
      <c r="AC350" s="633"/>
      <c r="AD350" s="633"/>
      <c r="AE350" s="633"/>
      <c r="AF350" s="633"/>
      <c r="AG350" s="633"/>
      <c r="AH350" s="633"/>
      <c r="AI350" s="633"/>
      <c r="AJ350" s="633"/>
      <c r="AK350" s="633"/>
      <c r="AL350" s="633"/>
      <c r="AM350" s="633"/>
      <c r="AN350" s="633"/>
      <c r="AO350" s="633"/>
      <c r="AP350" s="634"/>
    </row>
    <row r="351" spans="2:42" ht="25.8" x14ac:dyDescent="0.5">
      <c r="B351" s="6"/>
      <c r="C351" s="6"/>
      <c r="D351" s="6">
        <f t="shared" si="25"/>
        <v>9</v>
      </c>
      <c r="E351" s="635"/>
      <c r="F351" s="2">
        <v>2025</v>
      </c>
      <c r="G351" s="2">
        <f>F351+1</f>
        <v>2026</v>
      </c>
      <c r="H351" s="2">
        <f t="shared" ref="H351:AO351" si="26">G351+1</f>
        <v>2027</v>
      </c>
      <c r="I351" s="2">
        <f t="shared" si="26"/>
        <v>2028</v>
      </c>
      <c r="J351" s="2">
        <f t="shared" si="26"/>
        <v>2029</v>
      </c>
      <c r="K351" s="2">
        <f t="shared" si="26"/>
        <v>2030</v>
      </c>
      <c r="L351" s="2">
        <f t="shared" si="26"/>
        <v>2031</v>
      </c>
      <c r="M351" s="2">
        <f t="shared" si="26"/>
        <v>2032</v>
      </c>
      <c r="N351" s="2">
        <f t="shared" si="26"/>
        <v>2033</v>
      </c>
      <c r="O351" s="2">
        <f t="shared" si="26"/>
        <v>2034</v>
      </c>
      <c r="P351" s="2">
        <f t="shared" si="26"/>
        <v>2035</v>
      </c>
      <c r="Q351" s="2">
        <f t="shared" si="26"/>
        <v>2036</v>
      </c>
      <c r="R351" s="2">
        <f t="shared" si="26"/>
        <v>2037</v>
      </c>
      <c r="S351" s="2">
        <f t="shared" si="26"/>
        <v>2038</v>
      </c>
      <c r="T351" s="2">
        <f t="shared" si="26"/>
        <v>2039</v>
      </c>
      <c r="U351" s="2">
        <f t="shared" si="26"/>
        <v>2040</v>
      </c>
      <c r="V351" s="2">
        <f t="shared" si="26"/>
        <v>2041</v>
      </c>
      <c r="W351" s="2">
        <f t="shared" si="26"/>
        <v>2042</v>
      </c>
      <c r="X351" s="2">
        <f t="shared" si="26"/>
        <v>2043</v>
      </c>
      <c r="Y351" s="2">
        <f t="shared" si="26"/>
        <v>2044</v>
      </c>
      <c r="Z351" s="2">
        <f t="shared" si="26"/>
        <v>2045</v>
      </c>
      <c r="AA351" s="2">
        <f t="shared" si="26"/>
        <v>2046</v>
      </c>
      <c r="AB351" s="2">
        <f t="shared" si="26"/>
        <v>2047</v>
      </c>
      <c r="AC351" s="2">
        <f t="shared" si="26"/>
        <v>2048</v>
      </c>
      <c r="AD351" s="2">
        <f t="shared" si="26"/>
        <v>2049</v>
      </c>
      <c r="AE351" s="2">
        <f t="shared" si="26"/>
        <v>2050</v>
      </c>
      <c r="AF351" s="2">
        <f t="shared" si="26"/>
        <v>2051</v>
      </c>
      <c r="AG351" s="2">
        <f t="shared" si="26"/>
        <v>2052</v>
      </c>
      <c r="AH351" s="2">
        <f t="shared" si="26"/>
        <v>2053</v>
      </c>
      <c r="AI351" s="2">
        <f t="shared" si="26"/>
        <v>2054</v>
      </c>
      <c r="AJ351" s="2">
        <f t="shared" si="26"/>
        <v>2055</v>
      </c>
      <c r="AK351" s="2">
        <f t="shared" si="26"/>
        <v>2056</v>
      </c>
      <c r="AL351" s="2">
        <f t="shared" si="26"/>
        <v>2057</v>
      </c>
      <c r="AM351" s="2">
        <f t="shared" si="26"/>
        <v>2058</v>
      </c>
      <c r="AN351" s="2">
        <f t="shared" si="26"/>
        <v>2059</v>
      </c>
      <c r="AO351" s="2">
        <f t="shared" si="26"/>
        <v>2060</v>
      </c>
      <c r="AP351" s="163"/>
    </row>
    <row r="352" spans="2:42" x14ac:dyDescent="0.3">
      <c r="B352" s="6"/>
      <c r="C352" s="6"/>
      <c r="D352" s="6">
        <f t="shared" si="25"/>
        <v>9</v>
      </c>
      <c r="E352" s="636" t="str">
        <f>E312</f>
        <v>Capacity - PJM Market</v>
      </c>
      <c r="F352" s="302"/>
      <c r="G352" s="317"/>
      <c r="H352" s="317"/>
      <c r="I352" s="317">
        <f>'Capacity Values'!D26</f>
        <v>69106.89175000001</v>
      </c>
      <c r="J352" s="317">
        <f>'Capacity Values'!E26</f>
        <v>76785.449310000011</v>
      </c>
      <c r="K352" s="317">
        <f>'Capacity Values'!F26</f>
        <v>83806.841159999996</v>
      </c>
      <c r="L352" s="317">
        <f>'Capacity Values'!G26</f>
        <v>71063.283719999992</v>
      </c>
      <c r="M352" s="317">
        <f>'Capacity Values'!H26</f>
        <v>59726.030400000003</v>
      </c>
      <c r="N352" s="317">
        <f>'Capacity Values'!I26</f>
        <v>57570.884250000003</v>
      </c>
      <c r="O352" s="317">
        <f>'Capacity Values'!J26</f>
        <v>56850.680119999997</v>
      </c>
      <c r="P352" s="317">
        <f>'Capacity Values'!K26</f>
        <v>56709.328760000011</v>
      </c>
      <c r="Q352" s="317">
        <f>'Capacity Values'!L26</f>
        <v>57134.628584999991</v>
      </c>
      <c r="R352" s="317">
        <f>'Capacity Values'!M26</f>
        <v>56834.613550000009</v>
      </c>
      <c r="S352" s="317">
        <f>'Capacity Values'!N26</f>
        <v>56207.253375</v>
      </c>
      <c r="T352" s="317">
        <f>'Capacity Values'!O26</f>
        <v>55393.851239999996</v>
      </c>
      <c r="U352" s="317">
        <f>'Capacity Values'!P26</f>
        <v>54497.015580000007</v>
      </c>
      <c r="V352" s="317">
        <f>'Capacity Values'!Q26</f>
        <v>53531.071550000008</v>
      </c>
      <c r="W352" s="317">
        <f>'Capacity Values'!R26</f>
        <v>52494.978900000002</v>
      </c>
      <c r="X352" s="317">
        <f>'Capacity Values'!S26</f>
        <v>51275.5285</v>
      </c>
      <c r="Y352" s="317">
        <f>'Capacity Values'!T26</f>
        <v>50116.498739999995</v>
      </c>
      <c r="Z352" s="317">
        <f>'Capacity Values'!U26</f>
        <v>48887.764199999998</v>
      </c>
      <c r="AA352" s="317">
        <f>'Capacity Values'!V26</f>
        <v>47330.350079999997</v>
      </c>
      <c r="AB352" s="317">
        <f>'Capacity Values'!W26</f>
        <v>45770.649599999997</v>
      </c>
      <c r="AC352" s="317"/>
      <c r="AD352" s="317"/>
      <c r="AE352" s="317"/>
      <c r="AF352" s="317"/>
      <c r="AG352" s="317"/>
      <c r="AH352" s="317"/>
      <c r="AI352" s="317"/>
      <c r="AJ352" s="317"/>
      <c r="AK352" s="317"/>
      <c r="AL352" s="317"/>
      <c r="AM352" s="317"/>
      <c r="AN352" s="317"/>
      <c r="AO352" s="317"/>
      <c r="AP352" s="163"/>
    </row>
    <row r="353" spans="2:42" x14ac:dyDescent="0.3">
      <c r="B353" s="6"/>
      <c r="C353" s="6"/>
      <c r="D353" s="6">
        <f t="shared" si="25"/>
        <v>9</v>
      </c>
      <c r="E353" s="636" t="str">
        <f t="shared" ref="E353:E388" si="27">E313</f>
        <v>Energy Arbitrage - PJM Market</v>
      </c>
      <c r="F353" s="303"/>
      <c r="G353" s="304"/>
      <c r="H353" s="304"/>
      <c r="I353" s="304">
        <v>68357.206372896806</v>
      </c>
      <c r="J353" s="304">
        <v>70920.770782396779</v>
      </c>
      <c r="K353" s="304">
        <v>83633.345646334637</v>
      </c>
      <c r="L353" s="304">
        <v>83861.214704954866</v>
      </c>
      <c r="M353" s="304">
        <v>89415.035599761715</v>
      </c>
      <c r="N353" s="304">
        <v>94125.562557054363</v>
      </c>
      <c r="O353" s="304">
        <v>98836.089514347026</v>
      </c>
      <c r="P353" s="304">
        <v>103546.61647163962</v>
      </c>
      <c r="Q353" s="304">
        <v>108257.14342893229</v>
      </c>
      <c r="R353" s="304">
        <v>112967.67038622493</v>
      </c>
      <c r="S353" s="304">
        <v>129522.35430839524</v>
      </c>
      <c r="T353" s="304">
        <v>146077.03823056558</v>
      </c>
      <c r="U353" s="304">
        <v>162631.72215273586</v>
      </c>
      <c r="V353" s="304">
        <v>179186.4060749062</v>
      </c>
      <c r="W353" s="304">
        <v>195741.08999707657</v>
      </c>
      <c r="X353" s="304">
        <v>205298.78576791793</v>
      </c>
      <c r="Y353" s="304">
        <v>214856.48153875917</v>
      </c>
      <c r="Z353" s="304">
        <v>224414.17730960046</v>
      </c>
      <c r="AA353" s="304">
        <v>233971.87308044179</v>
      </c>
      <c r="AB353" s="304">
        <v>243529.56885128308</v>
      </c>
      <c r="AC353" s="304"/>
      <c r="AD353" s="304"/>
      <c r="AE353" s="304"/>
      <c r="AF353" s="304"/>
      <c r="AG353" s="304"/>
      <c r="AH353" s="304"/>
      <c r="AI353" s="304"/>
      <c r="AJ353" s="304"/>
      <c r="AK353" s="304"/>
      <c r="AL353" s="304"/>
      <c r="AM353" s="304"/>
      <c r="AN353" s="304"/>
      <c r="AO353" s="304"/>
      <c r="AP353" s="163"/>
    </row>
    <row r="354" spans="2:42" x14ac:dyDescent="0.3">
      <c r="B354" s="6"/>
      <c r="C354" s="6"/>
      <c r="D354" s="6">
        <f t="shared" si="25"/>
        <v>9</v>
      </c>
      <c r="E354" s="636" t="str">
        <f t="shared" si="27"/>
        <v>Spin- PJM Market</v>
      </c>
      <c r="F354" s="303"/>
      <c r="G354" s="304"/>
      <c r="H354" s="304"/>
      <c r="I354" s="304">
        <v>22643.256336483762</v>
      </c>
      <c r="J354" s="304">
        <v>20985.851448660294</v>
      </c>
      <c r="K354" s="304">
        <v>21673.120522926394</v>
      </c>
      <c r="L354" s="304">
        <v>20160.256281841539</v>
      </c>
      <c r="M354" s="304">
        <v>18969.308534292337</v>
      </c>
      <c r="N354" s="304">
        <v>19412.810535523997</v>
      </c>
      <c r="O354" s="304">
        <v>19856.31253675566</v>
      </c>
      <c r="P354" s="304">
        <v>20299.81453798732</v>
      </c>
      <c r="Q354" s="304">
        <v>20743.316539218984</v>
      </c>
      <c r="R354" s="304">
        <v>21186.818540450644</v>
      </c>
      <c r="S354" s="304">
        <v>22143.233834872091</v>
      </c>
      <c r="T354" s="304">
        <v>23099.649129293539</v>
      </c>
      <c r="U354" s="304">
        <v>24056.064423714983</v>
      </c>
      <c r="V354" s="304">
        <v>25012.47971813643</v>
      </c>
      <c r="W354" s="304">
        <v>25968.895012557878</v>
      </c>
      <c r="X354" s="304">
        <v>27117.448960468115</v>
      </c>
      <c r="Y354" s="304">
        <v>28266.002908378356</v>
      </c>
      <c r="Z354" s="304">
        <v>29414.556856288593</v>
      </c>
      <c r="AA354" s="304">
        <v>30563.110804198834</v>
      </c>
      <c r="AB354" s="304">
        <v>31711.664752109071</v>
      </c>
      <c r="AC354" s="304"/>
      <c r="AD354" s="304"/>
      <c r="AE354" s="304"/>
      <c r="AF354" s="304"/>
      <c r="AG354" s="304"/>
      <c r="AH354" s="304"/>
      <c r="AI354" s="304"/>
      <c r="AJ354" s="304"/>
      <c r="AK354" s="304"/>
      <c r="AL354" s="304"/>
      <c r="AM354" s="304"/>
      <c r="AN354" s="304"/>
      <c r="AO354" s="304"/>
      <c r="AP354" s="163"/>
    </row>
    <row r="355" spans="2:42" x14ac:dyDescent="0.3">
      <c r="B355" s="6"/>
      <c r="C355" s="6"/>
      <c r="D355" s="6">
        <f t="shared" si="25"/>
        <v>9</v>
      </c>
      <c r="E355" s="636" t="str">
        <f t="shared" si="27"/>
        <v>Non-Spin - PJM Market</v>
      </c>
      <c r="F355" s="303"/>
      <c r="G355" s="304"/>
      <c r="H355" s="304"/>
      <c r="I355" s="304">
        <v>0</v>
      </c>
      <c r="J355" s="304">
        <v>0</v>
      </c>
      <c r="K355" s="304">
        <v>0</v>
      </c>
      <c r="L355" s="304">
        <v>0</v>
      </c>
      <c r="M355" s="304">
        <v>0</v>
      </c>
      <c r="N355" s="304">
        <v>0</v>
      </c>
      <c r="O355" s="304">
        <v>0</v>
      </c>
      <c r="P355" s="304">
        <v>0</v>
      </c>
      <c r="Q355" s="304">
        <v>0</v>
      </c>
      <c r="R355" s="304">
        <v>0</v>
      </c>
      <c r="S355" s="304">
        <v>0</v>
      </c>
      <c r="T355" s="304">
        <v>0</v>
      </c>
      <c r="U355" s="304">
        <v>0</v>
      </c>
      <c r="V355" s="304">
        <v>0</v>
      </c>
      <c r="W355" s="304">
        <v>0</v>
      </c>
      <c r="X355" s="304">
        <v>0</v>
      </c>
      <c r="Y355" s="304">
        <v>0</v>
      </c>
      <c r="Z355" s="304">
        <v>0</v>
      </c>
      <c r="AA355" s="304">
        <v>0</v>
      </c>
      <c r="AB355" s="304">
        <v>0</v>
      </c>
      <c r="AC355" s="304"/>
      <c r="AD355" s="304"/>
      <c r="AE355" s="304"/>
      <c r="AF355" s="304"/>
      <c r="AG355" s="304"/>
      <c r="AH355" s="304"/>
      <c r="AI355" s="304"/>
      <c r="AJ355" s="304"/>
      <c r="AK355" s="304"/>
      <c r="AL355" s="304"/>
      <c r="AM355" s="304"/>
      <c r="AN355" s="304"/>
      <c r="AO355" s="304"/>
      <c r="AP355" s="163"/>
    </row>
    <row r="356" spans="2:42" x14ac:dyDescent="0.3">
      <c r="B356" s="6"/>
      <c r="C356" s="6"/>
      <c r="D356" s="6">
        <f t="shared" si="25"/>
        <v>9</v>
      </c>
      <c r="E356" s="636" t="str">
        <f t="shared" si="27"/>
        <v>Regulation - PJM Market</v>
      </c>
      <c r="F356" s="303"/>
      <c r="G356" s="304"/>
      <c r="H356" s="304"/>
      <c r="I356" s="304">
        <v>130498.82285055355</v>
      </c>
      <c r="J356" s="304">
        <v>59040.832878821318</v>
      </c>
      <c r="K356" s="304">
        <v>31658.589585061491</v>
      </c>
      <c r="L356" s="304">
        <v>19442.899134327254</v>
      </c>
      <c r="M356" s="304">
        <v>12351.485829938851</v>
      </c>
      <c r="N356" s="304">
        <v>11189.322782466676</v>
      </c>
      <c r="O356" s="304">
        <v>10027.159734994497</v>
      </c>
      <c r="P356" s="304">
        <v>8864.9966875223236</v>
      </c>
      <c r="Q356" s="304">
        <v>7702.8336400501485</v>
      </c>
      <c r="R356" s="304">
        <v>6540.6705925779715</v>
      </c>
      <c r="S356" s="304">
        <v>6962.0545970094827</v>
      </c>
      <c r="T356" s="304">
        <v>7383.4386014409938</v>
      </c>
      <c r="U356" s="304">
        <v>7804.8226058725049</v>
      </c>
      <c r="V356" s="304">
        <v>8226.2066103040142</v>
      </c>
      <c r="W356" s="304">
        <v>8647.5906147355272</v>
      </c>
      <c r="X356" s="304">
        <v>8594.4162908052494</v>
      </c>
      <c r="Y356" s="304">
        <v>8541.2419668749681</v>
      </c>
      <c r="Z356" s="304">
        <v>8488.0676429446885</v>
      </c>
      <c r="AA356" s="304">
        <v>8434.8933190144071</v>
      </c>
      <c r="AB356" s="304">
        <v>8381.7189950841312</v>
      </c>
      <c r="AC356" s="304"/>
      <c r="AD356" s="304"/>
      <c r="AE356" s="304"/>
      <c r="AF356" s="304"/>
      <c r="AG356" s="304"/>
      <c r="AH356" s="304"/>
      <c r="AI356" s="304"/>
      <c r="AJ356" s="304"/>
      <c r="AK356" s="304"/>
      <c r="AL356" s="304"/>
      <c r="AM356" s="304"/>
      <c r="AN356" s="304"/>
      <c r="AO356" s="304"/>
      <c r="AP356" s="163"/>
    </row>
    <row r="357" spans="2:42" x14ac:dyDescent="0.3">
      <c r="B357" s="6"/>
      <c r="C357" s="6"/>
      <c r="D357" s="6">
        <f t="shared" si="25"/>
        <v>9</v>
      </c>
      <c r="E357" s="636" t="str">
        <f t="shared" si="27"/>
        <v>Incurred Energy Charges</v>
      </c>
      <c r="F357" s="303"/>
      <c r="G357" s="304"/>
      <c r="H357" s="304"/>
      <c r="I357" s="304">
        <v>0</v>
      </c>
      <c r="J357" s="304">
        <v>0</v>
      </c>
      <c r="K357" s="304">
        <v>0</v>
      </c>
      <c r="L357" s="304">
        <v>0</v>
      </c>
      <c r="M357" s="304">
        <v>0</v>
      </c>
      <c r="N357" s="304">
        <v>0</v>
      </c>
      <c r="O357" s="304">
        <v>0</v>
      </c>
      <c r="P357" s="304">
        <v>0</v>
      </c>
      <c r="Q357" s="304">
        <v>0</v>
      </c>
      <c r="R357" s="304">
        <v>0</v>
      </c>
      <c r="S357" s="304">
        <v>0</v>
      </c>
      <c r="T357" s="304">
        <v>0</v>
      </c>
      <c r="U357" s="304">
        <v>0</v>
      </c>
      <c r="V357" s="304">
        <v>0</v>
      </c>
      <c r="W357" s="304">
        <v>0</v>
      </c>
      <c r="X357" s="304">
        <v>0</v>
      </c>
      <c r="Y357" s="304">
        <v>0</v>
      </c>
      <c r="Z357" s="304">
        <v>0</v>
      </c>
      <c r="AA357" s="304">
        <v>0</v>
      </c>
      <c r="AB357" s="304">
        <v>0</v>
      </c>
      <c r="AC357" s="304"/>
      <c r="AD357" s="304"/>
      <c r="AE357" s="304"/>
      <c r="AF357" s="304"/>
      <c r="AG357" s="304"/>
      <c r="AH357" s="304"/>
      <c r="AI357" s="304"/>
      <c r="AJ357" s="304"/>
      <c r="AK357" s="304"/>
      <c r="AL357" s="304"/>
      <c r="AM357" s="304"/>
      <c r="AN357" s="304"/>
      <c r="AO357" s="304"/>
      <c r="AP357" s="163"/>
    </row>
    <row r="358" spans="2:42" x14ac:dyDescent="0.3">
      <c r="B358" s="6"/>
      <c r="C358" s="6"/>
      <c r="D358" s="6">
        <f t="shared" si="25"/>
        <v>9</v>
      </c>
      <c r="E358" s="636" t="str">
        <f t="shared" si="27"/>
        <v>As Used Demand Charges</v>
      </c>
      <c r="F358" s="303"/>
      <c r="G358" s="304"/>
      <c r="H358" s="304"/>
      <c r="I358" s="304">
        <v>-18604.766480948136</v>
      </c>
      <c r="J358" s="304">
        <v>-22193.624428816638</v>
      </c>
      <c r="K358" s="304">
        <v>-18119.590757952763</v>
      </c>
      <c r="L358" s="304">
        <v>-20132.823300032731</v>
      </c>
      <c r="M358" s="304">
        <v>-23086.478554788497</v>
      </c>
      <c r="N358" s="304">
        <v>-25098.357065861175</v>
      </c>
      <c r="O358" s="304">
        <v>-27110.235576933854</v>
      </c>
      <c r="P358" s="304">
        <v>-29122.114088006536</v>
      </c>
      <c r="Q358" s="304">
        <v>-31133.992599079214</v>
      </c>
      <c r="R358" s="304">
        <v>-33145.871110151893</v>
      </c>
      <c r="S358" s="304">
        <v>-34702.731192740714</v>
      </c>
      <c r="T358" s="304">
        <v>-36259.591275329534</v>
      </c>
      <c r="U358" s="304">
        <v>-37816.451357918355</v>
      </c>
      <c r="V358" s="304">
        <v>-39373.311440507176</v>
      </c>
      <c r="W358" s="304">
        <v>-40930.171523095996</v>
      </c>
      <c r="X358" s="304">
        <v>-41007.31593072151</v>
      </c>
      <c r="Y358" s="304">
        <v>-41084.460338347031</v>
      </c>
      <c r="Z358" s="304">
        <v>-41161.604745972545</v>
      </c>
      <c r="AA358" s="304">
        <v>-41238.749153598066</v>
      </c>
      <c r="AB358" s="304">
        <v>-41315.89356122358</v>
      </c>
      <c r="AC358" s="304"/>
      <c r="AD358" s="304"/>
      <c r="AE358" s="304"/>
      <c r="AF358" s="304"/>
      <c r="AG358" s="304"/>
      <c r="AH358" s="304"/>
      <c r="AI358" s="304"/>
      <c r="AJ358" s="304"/>
      <c r="AK358" s="304"/>
      <c r="AL358" s="304"/>
      <c r="AM358" s="304"/>
      <c r="AN358" s="304"/>
      <c r="AO358" s="304"/>
      <c r="AP358" s="163"/>
    </row>
    <row r="359" spans="2:42" x14ac:dyDescent="0.3">
      <c r="B359" s="6"/>
      <c r="C359" s="6"/>
      <c r="D359" s="6">
        <f t="shared" si="25"/>
        <v>9</v>
      </c>
      <c r="E359" s="636" t="str">
        <f t="shared" si="27"/>
        <v>Contract Demand Charges  Fixed</v>
      </c>
      <c r="F359" s="303"/>
      <c r="G359" s="304"/>
      <c r="H359" s="304"/>
      <c r="I359" s="304">
        <v>0</v>
      </c>
      <c r="J359" s="304">
        <v>0</v>
      </c>
      <c r="K359" s="304">
        <v>0</v>
      </c>
      <c r="L359" s="304">
        <v>0</v>
      </c>
      <c r="M359" s="304">
        <v>0</v>
      </c>
      <c r="N359" s="304">
        <v>0</v>
      </c>
      <c r="O359" s="304">
        <v>0</v>
      </c>
      <c r="P359" s="304">
        <v>0</v>
      </c>
      <c r="Q359" s="304">
        <v>0</v>
      </c>
      <c r="R359" s="304">
        <v>0</v>
      </c>
      <c r="S359" s="304">
        <v>0</v>
      </c>
      <c r="T359" s="304">
        <v>0</v>
      </c>
      <c r="U359" s="304">
        <v>0</v>
      </c>
      <c r="V359" s="304">
        <v>0</v>
      </c>
      <c r="W359" s="304">
        <v>0</v>
      </c>
      <c r="X359" s="304">
        <v>0</v>
      </c>
      <c r="Y359" s="304">
        <v>0</v>
      </c>
      <c r="Z359" s="304">
        <v>0</v>
      </c>
      <c r="AA359" s="304">
        <v>0</v>
      </c>
      <c r="AB359" s="304">
        <v>0</v>
      </c>
      <c r="AC359" s="304"/>
      <c r="AD359" s="304"/>
      <c r="AE359" s="304"/>
      <c r="AF359" s="304"/>
      <c r="AG359" s="304"/>
      <c r="AH359" s="304"/>
      <c r="AI359" s="304"/>
      <c r="AJ359" s="304"/>
      <c r="AK359" s="304"/>
      <c r="AL359" s="304"/>
      <c r="AM359" s="304"/>
      <c r="AN359" s="304"/>
      <c r="AO359" s="304"/>
      <c r="AP359" s="163"/>
    </row>
    <row r="360" spans="2:42" x14ac:dyDescent="0.3">
      <c r="B360" s="6"/>
      <c r="C360" s="6"/>
      <c r="D360" s="6">
        <f t="shared" si="25"/>
        <v>9</v>
      </c>
      <c r="E360" s="636" t="str">
        <f t="shared" si="27"/>
        <v>Customer Charges/ Fixed Charges</v>
      </c>
      <c r="F360" s="303"/>
      <c r="G360" s="304"/>
      <c r="H360" s="304"/>
      <c r="I360" s="304">
        <v>-404.17228800000004</v>
      </c>
      <c r="J360" s="304">
        <v>-420.33917952000007</v>
      </c>
      <c r="K360" s="304">
        <v>-437.15274670080009</v>
      </c>
      <c r="L360" s="304">
        <v>-454.63885656883213</v>
      </c>
      <c r="M360" s="304">
        <v>-472.82441083158545</v>
      </c>
      <c r="N360" s="304">
        <v>-491.73738726484891</v>
      </c>
      <c r="O360" s="304">
        <v>-511.40688275544289</v>
      </c>
      <c r="P360" s="304">
        <v>-531.86315806566063</v>
      </c>
      <c r="Q360" s="304">
        <v>-553.13768438828708</v>
      </c>
      <c r="R360" s="304">
        <v>-575.26319176381855</v>
      </c>
      <c r="S360" s="304">
        <v>-598.27371943437129</v>
      </c>
      <c r="T360" s="304">
        <v>-622.20466821174614</v>
      </c>
      <c r="U360" s="304">
        <v>-647.09285494021606</v>
      </c>
      <c r="V360" s="304">
        <v>-672.97656913782475</v>
      </c>
      <c r="W360" s="304">
        <v>-699.89563190333774</v>
      </c>
      <c r="X360" s="304">
        <v>-727.89145717947133</v>
      </c>
      <c r="Y360" s="304">
        <v>-757.00711546665025</v>
      </c>
      <c r="Z360" s="304">
        <v>-787.28740008531634</v>
      </c>
      <c r="AA360" s="304">
        <v>-818.77889608872897</v>
      </c>
      <c r="AB360" s="304">
        <v>-851.53005193227818</v>
      </c>
      <c r="AC360" s="304"/>
      <c r="AD360" s="304"/>
      <c r="AE360" s="304"/>
      <c r="AF360" s="304"/>
      <c r="AG360" s="304"/>
      <c r="AH360" s="304"/>
      <c r="AI360" s="304"/>
      <c r="AJ360" s="304"/>
      <c r="AK360" s="304"/>
      <c r="AL360" s="304"/>
      <c r="AM360" s="304"/>
      <c r="AN360" s="304"/>
      <c r="AO360" s="304"/>
      <c r="AP360" s="163"/>
    </row>
    <row r="361" spans="2:42" x14ac:dyDescent="0.3">
      <c r="B361" s="6"/>
      <c r="C361" s="6"/>
      <c r="D361" s="6">
        <f t="shared" si="25"/>
        <v>9</v>
      </c>
      <c r="E361" s="637" t="str">
        <f t="shared" si="27"/>
        <v>Energy Savings</v>
      </c>
      <c r="F361" s="303"/>
      <c r="G361" s="304"/>
      <c r="H361" s="304"/>
      <c r="I361" s="304">
        <v>0</v>
      </c>
      <c r="J361" s="304">
        <v>0</v>
      </c>
      <c r="K361" s="304">
        <v>0</v>
      </c>
      <c r="L361" s="617">
        <v>0</v>
      </c>
      <c r="M361" s="617">
        <v>0</v>
      </c>
      <c r="N361" s="617">
        <v>0</v>
      </c>
      <c r="O361" s="617">
        <v>0</v>
      </c>
      <c r="P361" s="617">
        <v>0</v>
      </c>
      <c r="Q361" s="617">
        <v>0</v>
      </c>
      <c r="R361" s="617">
        <v>0</v>
      </c>
      <c r="S361" s="617">
        <v>0</v>
      </c>
      <c r="T361" s="617">
        <v>0</v>
      </c>
      <c r="U361" s="617">
        <v>0</v>
      </c>
      <c r="V361" s="617">
        <v>0</v>
      </c>
      <c r="W361" s="617">
        <v>0</v>
      </c>
      <c r="X361" s="617">
        <v>0</v>
      </c>
      <c r="Y361" s="617">
        <v>0</v>
      </c>
      <c r="Z361" s="617">
        <v>0</v>
      </c>
      <c r="AA361" s="617">
        <v>0</v>
      </c>
      <c r="AB361" s="304">
        <v>0</v>
      </c>
      <c r="AC361" s="304"/>
      <c r="AD361" s="304"/>
      <c r="AE361" s="304"/>
      <c r="AF361" s="304"/>
      <c r="AG361" s="304"/>
      <c r="AH361" s="304"/>
      <c r="AI361" s="304"/>
      <c r="AJ361" s="304"/>
      <c r="AK361" s="304"/>
      <c r="AL361" s="304"/>
      <c r="AM361" s="304"/>
      <c r="AN361" s="304"/>
      <c r="AO361" s="304"/>
      <c r="AP361" s="163"/>
    </row>
    <row r="362" spans="2:42" x14ac:dyDescent="0.3">
      <c r="B362" s="6"/>
      <c r="C362" s="6"/>
      <c r="D362" s="6">
        <f t="shared" si="25"/>
        <v>9</v>
      </c>
      <c r="E362" s="637" t="str">
        <f t="shared" si="27"/>
        <v xml:space="preserve">Demand Savings </v>
      </c>
      <c r="F362" s="303"/>
      <c r="G362" s="304"/>
      <c r="H362" s="304"/>
      <c r="I362" s="304">
        <v>0</v>
      </c>
      <c r="J362" s="304">
        <v>0</v>
      </c>
      <c r="K362" s="304">
        <v>0</v>
      </c>
      <c r="L362" s="617">
        <v>0</v>
      </c>
      <c r="M362" s="617">
        <v>0</v>
      </c>
      <c r="N362" s="617">
        <v>0</v>
      </c>
      <c r="O362" s="617">
        <v>0</v>
      </c>
      <c r="P362" s="617">
        <v>0</v>
      </c>
      <c r="Q362" s="617">
        <v>0</v>
      </c>
      <c r="R362" s="617">
        <v>0</v>
      </c>
      <c r="S362" s="617">
        <v>0</v>
      </c>
      <c r="T362" s="617">
        <v>0</v>
      </c>
      <c r="U362" s="617">
        <v>0</v>
      </c>
      <c r="V362" s="617">
        <v>0</v>
      </c>
      <c r="W362" s="617">
        <v>0</v>
      </c>
      <c r="X362" s="617">
        <v>0</v>
      </c>
      <c r="Y362" s="617">
        <v>0</v>
      </c>
      <c r="Z362" s="617">
        <v>0</v>
      </c>
      <c r="AA362" s="617">
        <v>0</v>
      </c>
      <c r="AB362" s="304">
        <v>0</v>
      </c>
      <c r="AC362" s="304"/>
      <c r="AD362" s="304"/>
      <c r="AE362" s="304"/>
      <c r="AF362" s="304"/>
      <c r="AG362" s="304"/>
      <c r="AH362" s="304"/>
      <c r="AI362" s="304"/>
      <c r="AJ362" s="304"/>
      <c r="AK362" s="304"/>
      <c r="AL362" s="304"/>
      <c r="AM362" s="304"/>
      <c r="AN362" s="304"/>
      <c r="AO362" s="304"/>
      <c r="AP362" s="163"/>
    </row>
    <row r="363" spans="2:42" x14ac:dyDescent="0.3">
      <c r="B363" s="6"/>
      <c r="C363" s="6"/>
      <c r="D363" s="6">
        <f t="shared" si="25"/>
        <v>9</v>
      </c>
      <c r="E363" s="638" t="str">
        <f t="shared" si="27"/>
        <v>Energy Generation - Export</v>
      </c>
      <c r="F363" s="303"/>
      <c r="G363" s="304"/>
      <c r="H363" s="304"/>
      <c r="I363" s="304">
        <v>0</v>
      </c>
      <c r="J363" s="304">
        <v>0</v>
      </c>
      <c r="K363" s="304">
        <v>0</v>
      </c>
      <c r="L363" s="617">
        <v>0</v>
      </c>
      <c r="M363" s="617">
        <v>0</v>
      </c>
      <c r="N363" s="617">
        <v>0</v>
      </c>
      <c r="O363" s="617">
        <v>0</v>
      </c>
      <c r="P363" s="617">
        <v>0</v>
      </c>
      <c r="Q363" s="617">
        <v>0</v>
      </c>
      <c r="R363" s="617">
        <v>0</v>
      </c>
      <c r="S363" s="617">
        <v>0</v>
      </c>
      <c r="T363" s="617">
        <v>0</v>
      </c>
      <c r="U363" s="617">
        <v>0</v>
      </c>
      <c r="V363" s="617">
        <v>0</v>
      </c>
      <c r="W363" s="617">
        <v>0</v>
      </c>
      <c r="X363" s="617">
        <v>0</v>
      </c>
      <c r="Y363" s="617">
        <v>0</v>
      </c>
      <c r="Z363" s="617">
        <v>0</v>
      </c>
      <c r="AA363" s="617">
        <v>0</v>
      </c>
      <c r="AB363" s="304">
        <v>0</v>
      </c>
      <c r="AC363" s="304"/>
      <c r="AD363" s="304"/>
      <c r="AE363" s="304"/>
      <c r="AF363" s="304"/>
      <c r="AG363" s="304"/>
      <c r="AH363" s="304"/>
      <c r="AI363" s="304"/>
      <c r="AJ363" s="304"/>
      <c r="AK363" s="304"/>
      <c r="AL363" s="304"/>
      <c r="AM363" s="304"/>
      <c r="AN363" s="304"/>
      <c r="AO363" s="304"/>
      <c r="AP363" s="163"/>
    </row>
    <row r="364" spans="2:42" x14ac:dyDescent="0.3">
      <c r="B364" s="6"/>
      <c r="C364" s="6"/>
      <c r="D364" s="6">
        <f t="shared" si="25"/>
        <v>9</v>
      </c>
      <c r="E364" s="638" t="str">
        <f t="shared" si="27"/>
        <v>Generation Capacity</v>
      </c>
      <c r="F364" s="303"/>
      <c r="G364" s="304"/>
      <c r="H364" s="304"/>
      <c r="I364" s="304">
        <v>0</v>
      </c>
      <c r="J364" s="304">
        <v>0</v>
      </c>
      <c r="K364" s="304">
        <v>0</v>
      </c>
      <c r="L364" s="617">
        <v>0</v>
      </c>
      <c r="M364" s="617">
        <v>0</v>
      </c>
      <c r="N364" s="617">
        <v>0</v>
      </c>
      <c r="O364" s="617">
        <v>0</v>
      </c>
      <c r="P364" s="617">
        <v>0</v>
      </c>
      <c r="Q364" s="617">
        <v>0</v>
      </c>
      <c r="R364" s="617">
        <v>0</v>
      </c>
      <c r="S364" s="617">
        <v>0</v>
      </c>
      <c r="T364" s="617">
        <v>0</v>
      </c>
      <c r="U364" s="617">
        <v>0</v>
      </c>
      <c r="V364" s="617">
        <v>0</v>
      </c>
      <c r="W364" s="617">
        <v>0</v>
      </c>
      <c r="X364" s="617">
        <v>0</v>
      </c>
      <c r="Y364" s="617">
        <v>0</v>
      </c>
      <c r="Z364" s="617">
        <v>0</v>
      </c>
      <c r="AA364" s="617">
        <v>0</v>
      </c>
      <c r="AB364" s="304">
        <v>0</v>
      </c>
      <c r="AC364" s="304"/>
      <c r="AD364" s="304"/>
      <c r="AE364" s="304"/>
      <c r="AF364" s="304"/>
      <c r="AG364" s="304"/>
      <c r="AH364" s="304"/>
      <c r="AI364" s="304"/>
      <c r="AJ364" s="304"/>
      <c r="AK364" s="304"/>
      <c r="AL364" s="304"/>
      <c r="AM364" s="304"/>
      <c r="AN364" s="304"/>
      <c r="AO364" s="304"/>
      <c r="AP364" s="163"/>
    </row>
    <row r="365" spans="2:42" x14ac:dyDescent="0.3">
      <c r="B365" s="6"/>
      <c r="C365" s="6"/>
      <c r="D365" s="6">
        <f t="shared" si="25"/>
        <v>9</v>
      </c>
      <c r="E365" s="638" t="str">
        <f t="shared" si="27"/>
        <v>Transmission Capacity</v>
      </c>
      <c r="F365" s="303"/>
      <c r="G365" s="304"/>
      <c r="H365" s="304"/>
      <c r="I365" s="304">
        <v>60709.042299822475</v>
      </c>
      <c r="J365" s="304">
        <v>58834.688884880161</v>
      </c>
      <c r="K365" s="304">
        <v>48271.731160874508</v>
      </c>
      <c r="L365" s="617">
        <v>48962.436320663459</v>
      </c>
      <c r="M365" s="617">
        <v>48937.782551075557</v>
      </c>
      <c r="N365" s="617">
        <v>48911.383009357269</v>
      </c>
      <c r="O365" s="617">
        <v>48884.983467638973</v>
      </c>
      <c r="P365" s="617">
        <v>48858.583925920684</v>
      </c>
      <c r="Q365" s="617">
        <v>48832.184384202388</v>
      </c>
      <c r="R365" s="617">
        <v>48805.784842484099</v>
      </c>
      <c r="S365" s="617">
        <v>49678.37393352903</v>
      </c>
      <c r="T365" s="617">
        <v>50550.963024573954</v>
      </c>
      <c r="U365" s="617">
        <v>51423.552115618884</v>
      </c>
      <c r="V365" s="617">
        <v>52296.141206663808</v>
      </c>
      <c r="W365" s="617">
        <v>53168.730297708738</v>
      </c>
      <c r="X365" s="617">
        <v>54464.808033750654</v>
      </c>
      <c r="Y365" s="617">
        <v>55760.885769792578</v>
      </c>
      <c r="Z365" s="617">
        <v>57056.963505834494</v>
      </c>
      <c r="AA365" s="617">
        <v>58353.041241876417</v>
      </c>
      <c r="AB365" s="304">
        <v>59649.118977918333</v>
      </c>
      <c r="AC365" s="304"/>
      <c r="AD365" s="304"/>
      <c r="AE365" s="304"/>
      <c r="AF365" s="304"/>
      <c r="AG365" s="304"/>
      <c r="AH365" s="304"/>
      <c r="AI365" s="304"/>
      <c r="AJ365" s="304"/>
      <c r="AK365" s="304"/>
      <c r="AL365" s="304"/>
      <c r="AM365" s="304"/>
      <c r="AN365" s="304"/>
      <c r="AO365" s="304"/>
      <c r="AP365" s="163"/>
    </row>
    <row r="366" spans="2:42" x14ac:dyDescent="0.3">
      <c r="B366" s="6"/>
      <c r="C366" s="6"/>
      <c r="D366" s="6">
        <f t="shared" si="25"/>
        <v>9</v>
      </c>
      <c r="E366" s="638" t="str">
        <f t="shared" si="27"/>
        <v>Distribution Capacity</v>
      </c>
      <c r="F366" s="303"/>
      <c r="G366" s="304"/>
      <c r="H366" s="304"/>
      <c r="I366" s="304">
        <v>15182.069445709942</v>
      </c>
      <c r="J366" s="304">
        <v>15664.607523510518</v>
      </c>
      <c r="K366" s="304">
        <v>12605.814104845924</v>
      </c>
      <c r="L366" s="617">
        <v>12679.307671818768</v>
      </c>
      <c r="M366" s="617">
        <v>13020.445025919182</v>
      </c>
      <c r="N366" s="617">
        <v>13007.024975514109</v>
      </c>
      <c r="O366" s="617">
        <v>12993.604925109037</v>
      </c>
      <c r="P366" s="617">
        <v>12980.184874703964</v>
      </c>
      <c r="Q366" s="617">
        <v>12966.764824298893</v>
      </c>
      <c r="R366" s="617">
        <v>12953.344773893819</v>
      </c>
      <c r="S366" s="617">
        <v>13073.810948193395</v>
      </c>
      <c r="T366" s="617">
        <v>13194.277122492969</v>
      </c>
      <c r="U366" s="617">
        <v>13314.743296792545</v>
      </c>
      <c r="V366" s="617">
        <v>13435.209471092119</v>
      </c>
      <c r="W366" s="617">
        <v>13555.675645391695</v>
      </c>
      <c r="X366" s="617">
        <v>13760.952838363395</v>
      </c>
      <c r="Y366" s="617">
        <v>13966.230031335095</v>
      </c>
      <c r="Z366" s="617">
        <v>14171.507224306797</v>
      </c>
      <c r="AA366" s="617">
        <v>14376.784417278497</v>
      </c>
      <c r="AB366" s="304">
        <v>14582.061610250197</v>
      </c>
      <c r="AC366" s="304"/>
      <c r="AD366" s="304"/>
      <c r="AE366" s="304"/>
      <c r="AF366" s="304"/>
      <c r="AG366" s="304"/>
      <c r="AH366" s="304"/>
      <c r="AI366" s="304"/>
      <c r="AJ366" s="304"/>
      <c r="AK366" s="304"/>
      <c r="AL366" s="304"/>
      <c r="AM366" s="304"/>
      <c r="AN366" s="304"/>
      <c r="AO366" s="304"/>
      <c r="AP366" s="163"/>
    </row>
    <row r="367" spans="2:42" x14ac:dyDescent="0.3">
      <c r="B367" s="6"/>
      <c r="C367" s="6"/>
      <c r="D367" s="6">
        <f t="shared" si="25"/>
        <v>9</v>
      </c>
      <c r="E367" s="638" t="str">
        <f t="shared" si="27"/>
        <v>GHG Impacts</v>
      </c>
      <c r="F367" s="303"/>
      <c r="G367" s="304"/>
      <c r="H367" s="304"/>
      <c r="I367" s="304">
        <v>128730.84904456179</v>
      </c>
      <c r="J367" s="304">
        <v>145850.32781574389</v>
      </c>
      <c r="K367" s="304">
        <v>56607.538775323912</v>
      </c>
      <c r="L367" s="617">
        <v>68297.522352547443</v>
      </c>
      <c r="M367" s="617">
        <v>83809.317485063162</v>
      </c>
      <c r="N367" s="617">
        <v>94640.143503816551</v>
      </c>
      <c r="O367" s="617">
        <v>105470.96952256994</v>
      </c>
      <c r="P367" s="617">
        <v>116301.79554132331</v>
      </c>
      <c r="Q367" s="617">
        <v>127132.6215600767</v>
      </c>
      <c r="R367" s="617">
        <v>137963.44757883009</v>
      </c>
      <c r="S367" s="617">
        <v>149198.4471652121</v>
      </c>
      <c r="T367" s="617">
        <v>160433.44675159411</v>
      </c>
      <c r="U367" s="617">
        <v>171668.44633797609</v>
      </c>
      <c r="V367" s="617">
        <v>182903.44592435809</v>
      </c>
      <c r="W367" s="617">
        <v>194138.4455107401</v>
      </c>
      <c r="X367" s="617">
        <v>209493.32143736168</v>
      </c>
      <c r="Y367" s="617">
        <v>224848.19736398326</v>
      </c>
      <c r="Z367" s="617">
        <v>240203.07329060487</v>
      </c>
      <c r="AA367" s="617">
        <v>255557.94921722644</v>
      </c>
      <c r="AB367" s="304">
        <v>270912.82514384802</v>
      </c>
      <c r="AC367" s="304"/>
      <c r="AD367" s="304"/>
      <c r="AE367" s="304"/>
      <c r="AF367" s="304"/>
      <c r="AG367" s="304"/>
      <c r="AH367" s="304"/>
      <c r="AI367" s="304"/>
      <c r="AJ367" s="304"/>
      <c r="AK367" s="304"/>
      <c r="AL367" s="304"/>
      <c r="AM367" s="304"/>
      <c r="AN367" s="304"/>
      <c r="AO367" s="304"/>
      <c r="AP367" s="163"/>
    </row>
    <row r="368" spans="2:42" x14ac:dyDescent="0.3">
      <c r="B368" s="6"/>
      <c r="C368" s="6"/>
      <c r="D368" s="6">
        <f t="shared" si="25"/>
        <v>9</v>
      </c>
      <c r="E368" s="638" t="str">
        <f t="shared" si="27"/>
        <v>Market Price Effects - Wholesale Energy</v>
      </c>
      <c r="F368" s="303"/>
      <c r="G368" s="304"/>
      <c r="H368" s="304"/>
      <c r="I368" s="304">
        <v>6233.0338184058992</v>
      </c>
      <c r="J368" s="304">
        <v>10895.412123813541</v>
      </c>
      <c r="K368" s="304">
        <v>22839.253562420981</v>
      </c>
      <c r="L368" s="617">
        <v>23544.072883573026</v>
      </c>
      <c r="M368" s="617">
        <v>33210.953910559248</v>
      </c>
      <c r="N368" s="617">
        <v>30423.398976754888</v>
      </c>
      <c r="O368" s="617">
        <v>27635.844042950532</v>
      </c>
      <c r="P368" s="617">
        <v>24848.289109146172</v>
      </c>
      <c r="Q368" s="617">
        <v>22060.734175341815</v>
      </c>
      <c r="R368" s="617">
        <v>19273.179241537455</v>
      </c>
      <c r="S368" s="617">
        <v>23826.521721572775</v>
      </c>
      <c r="T368" s="617">
        <v>28379.864201608096</v>
      </c>
      <c r="U368" s="617">
        <v>32933.206681643416</v>
      </c>
      <c r="V368" s="617">
        <v>37486.549161678733</v>
      </c>
      <c r="W368" s="617">
        <v>42039.891641714057</v>
      </c>
      <c r="X368" s="617">
        <v>44566.510175182601</v>
      </c>
      <c r="Y368" s="617">
        <v>47093.128708651144</v>
      </c>
      <c r="Z368" s="617">
        <v>49619.747242119687</v>
      </c>
      <c r="AA368" s="617">
        <v>52146.365775588238</v>
      </c>
      <c r="AB368" s="304">
        <v>54672.984309056781</v>
      </c>
      <c r="AC368" s="304"/>
      <c r="AD368" s="304"/>
      <c r="AE368" s="304"/>
      <c r="AF368" s="304"/>
      <c r="AG368" s="304"/>
      <c r="AH368" s="304"/>
      <c r="AI368" s="304"/>
      <c r="AJ368" s="304"/>
      <c r="AK368" s="304"/>
      <c r="AL368" s="304"/>
      <c r="AM368" s="304"/>
      <c r="AN368" s="304"/>
      <c r="AO368" s="304"/>
      <c r="AP368" s="163"/>
    </row>
    <row r="369" spans="2:42" x14ac:dyDescent="0.3">
      <c r="B369" s="6"/>
      <c r="C369" s="6"/>
      <c r="D369" s="6">
        <f t="shared" si="25"/>
        <v>9</v>
      </c>
      <c r="E369" s="638" t="str">
        <f t="shared" si="27"/>
        <v>Market Price Effects - Wholesale Capacity</v>
      </c>
      <c r="F369" s="303"/>
      <c r="G369" s="304"/>
      <c r="H369" s="304"/>
      <c r="I369" s="304">
        <v>0</v>
      </c>
      <c r="J369" s="304">
        <v>0</v>
      </c>
      <c r="K369" s="304">
        <v>0</v>
      </c>
      <c r="L369" s="617">
        <v>0</v>
      </c>
      <c r="M369" s="617">
        <v>0</v>
      </c>
      <c r="N369" s="617">
        <v>0</v>
      </c>
      <c r="O369" s="617">
        <v>0</v>
      </c>
      <c r="P369" s="617">
        <v>0</v>
      </c>
      <c r="Q369" s="617">
        <v>0</v>
      </c>
      <c r="R369" s="617">
        <v>0</v>
      </c>
      <c r="S369" s="617">
        <v>0</v>
      </c>
      <c r="T369" s="617">
        <v>0</v>
      </c>
      <c r="U369" s="617">
        <v>0</v>
      </c>
      <c r="V369" s="617">
        <v>0</v>
      </c>
      <c r="W369" s="617">
        <v>0</v>
      </c>
      <c r="X369" s="617">
        <v>0</v>
      </c>
      <c r="Y369" s="617">
        <v>0</v>
      </c>
      <c r="Z369" s="617">
        <v>0</v>
      </c>
      <c r="AA369" s="617">
        <v>0</v>
      </c>
      <c r="AB369" s="304">
        <v>0</v>
      </c>
      <c r="AC369" s="304"/>
      <c r="AD369" s="304"/>
      <c r="AE369" s="304"/>
      <c r="AF369" s="304"/>
      <c r="AG369" s="304"/>
      <c r="AH369" s="304"/>
      <c r="AI369" s="304"/>
      <c r="AJ369" s="304"/>
      <c r="AK369" s="304"/>
      <c r="AL369" s="304"/>
      <c r="AM369" s="304"/>
      <c r="AN369" s="304"/>
      <c r="AO369" s="304"/>
      <c r="AP369" s="163"/>
    </row>
    <row r="370" spans="2:42" x14ac:dyDescent="0.3">
      <c r="B370" s="6"/>
      <c r="C370" s="6"/>
      <c r="D370" s="6">
        <f t="shared" si="25"/>
        <v>9</v>
      </c>
      <c r="E370" s="639" t="str">
        <f t="shared" si="27"/>
        <v>Avoided Cost of Participant Backup Generator</v>
      </c>
      <c r="F370" s="303"/>
      <c r="G370" s="303"/>
      <c r="H370" s="310"/>
      <c r="I370" s="303"/>
      <c r="J370" s="303"/>
      <c r="K370" s="303"/>
      <c r="L370" s="303"/>
      <c r="M370" s="303"/>
      <c r="N370" s="303"/>
      <c r="O370" s="303"/>
      <c r="P370" s="303"/>
      <c r="Q370" s="303"/>
      <c r="R370" s="303"/>
      <c r="S370" s="303"/>
      <c r="T370" s="303"/>
      <c r="U370" s="303"/>
      <c r="V370" s="303"/>
      <c r="W370" s="303"/>
      <c r="X370" s="303"/>
      <c r="Y370" s="303"/>
      <c r="Z370" s="303"/>
      <c r="AA370" s="303"/>
      <c r="AB370" s="303"/>
      <c r="AC370" s="303"/>
      <c r="AD370" s="303"/>
      <c r="AE370" s="303"/>
      <c r="AF370" s="303"/>
      <c r="AG370" s="303"/>
      <c r="AH370" s="303"/>
      <c r="AI370" s="303"/>
      <c r="AJ370" s="303"/>
      <c r="AK370" s="303"/>
      <c r="AL370" s="303"/>
      <c r="AM370" s="303"/>
      <c r="AN370" s="303"/>
      <c r="AO370" s="303"/>
      <c r="AP370" s="163"/>
    </row>
    <row r="371" spans="2:42" x14ac:dyDescent="0.3">
      <c r="B371" s="6"/>
      <c r="C371" s="6"/>
      <c r="D371" s="6">
        <f t="shared" si="25"/>
        <v>9</v>
      </c>
      <c r="E371" s="640" t="str">
        <f t="shared" si="27"/>
        <v>Full Eq DoD Cycle</v>
      </c>
      <c r="F371" s="303"/>
      <c r="G371" s="303"/>
      <c r="H371" s="310"/>
      <c r="I371" s="308">
        <v>365</v>
      </c>
      <c r="J371" s="308">
        <v>365</v>
      </c>
      <c r="K371" s="308">
        <v>365</v>
      </c>
      <c r="L371" s="618">
        <v>365</v>
      </c>
      <c r="M371" s="618">
        <v>365</v>
      </c>
      <c r="N371" s="618">
        <v>365</v>
      </c>
      <c r="O371" s="618">
        <v>365</v>
      </c>
      <c r="P371" s="618">
        <v>365</v>
      </c>
      <c r="Q371" s="618">
        <v>365</v>
      </c>
      <c r="R371" s="618">
        <v>365</v>
      </c>
      <c r="S371" s="618">
        <v>365</v>
      </c>
      <c r="T371" s="618">
        <v>365</v>
      </c>
      <c r="U371" s="618">
        <v>365</v>
      </c>
      <c r="V371" s="618">
        <v>365</v>
      </c>
      <c r="W371" s="618">
        <v>365</v>
      </c>
      <c r="X371" s="618">
        <v>365</v>
      </c>
      <c r="Y371" s="618">
        <v>365</v>
      </c>
      <c r="Z371" s="618">
        <v>365</v>
      </c>
      <c r="AA371" s="618">
        <v>365</v>
      </c>
      <c r="AB371" s="308">
        <v>365</v>
      </c>
      <c r="AC371" s="309"/>
      <c r="AD371" s="309"/>
      <c r="AE371" s="309"/>
      <c r="AF371" s="309"/>
      <c r="AG371" s="309"/>
      <c r="AH371" s="309"/>
      <c r="AI371" s="309"/>
      <c r="AJ371" s="309"/>
      <c r="AK371" s="309"/>
      <c r="AL371" s="309"/>
      <c r="AM371" s="309"/>
      <c r="AN371" s="309"/>
      <c r="AO371" s="309"/>
      <c r="AP371" s="163"/>
    </row>
    <row r="372" spans="2:42" x14ac:dyDescent="0.3">
      <c r="B372" s="6"/>
      <c r="C372" s="6"/>
      <c r="D372" s="6">
        <f t="shared" si="25"/>
        <v>9</v>
      </c>
      <c r="E372" s="640" t="str">
        <f t="shared" si="27"/>
        <v>Export MWh</v>
      </c>
      <c r="F372" s="303"/>
      <c r="G372" s="303"/>
      <c r="H372" s="310"/>
      <c r="I372" s="308"/>
      <c r="J372" s="308"/>
      <c r="K372" s="308"/>
      <c r="L372" s="618"/>
      <c r="M372" s="618"/>
      <c r="N372" s="618"/>
      <c r="O372" s="618"/>
      <c r="P372" s="618"/>
      <c r="Q372" s="618"/>
      <c r="R372" s="618"/>
      <c r="S372" s="618"/>
      <c r="T372" s="618"/>
      <c r="U372" s="618"/>
      <c r="V372" s="618"/>
      <c r="W372" s="618"/>
      <c r="X372" s="618"/>
      <c r="Y372" s="618"/>
      <c r="Z372" s="618"/>
      <c r="AA372" s="618"/>
      <c r="AB372" s="308"/>
      <c r="AC372" s="309"/>
      <c r="AD372" s="309"/>
      <c r="AE372" s="309"/>
      <c r="AF372" s="309"/>
      <c r="AG372" s="309"/>
      <c r="AH372" s="309"/>
      <c r="AI372" s="309"/>
      <c r="AJ372" s="309"/>
      <c r="AK372" s="309"/>
      <c r="AL372" s="309"/>
      <c r="AM372" s="309"/>
      <c r="AN372" s="309"/>
      <c r="AO372" s="309"/>
      <c r="AP372" s="163"/>
    </row>
    <row r="373" spans="2:42" x14ac:dyDescent="0.3">
      <c r="B373" s="6"/>
      <c r="C373" s="6"/>
      <c r="D373" s="6">
        <f t="shared" si="25"/>
        <v>9</v>
      </c>
      <c r="E373" s="640" t="str">
        <f t="shared" si="27"/>
        <v>Charge MWh</v>
      </c>
      <c r="F373" s="303"/>
      <c r="G373" s="303"/>
      <c r="H373" s="310"/>
      <c r="I373" s="311"/>
      <c r="J373" s="311"/>
      <c r="K373" s="311"/>
      <c r="L373" s="619"/>
      <c r="M373" s="619"/>
      <c r="N373" s="619"/>
      <c r="O373" s="619"/>
      <c r="P373" s="619"/>
      <c r="Q373" s="619"/>
      <c r="R373" s="619"/>
      <c r="S373" s="619"/>
      <c r="T373" s="619"/>
      <c r="U373" s="619"/>
      <c r="V373" s="619"/>
      <c r="W373" s="619"/>
      <c r="X373" s="619"/>
      <c r="Y373" s="619"/>
      <c r="Z373" s="619"/>
      <c r="AA373" s="619"/>
      <c r="AB373" s="311"/>
      <c r="AC373" s="313"/>
      <c r="AD373" s="313"/>
      <c r="AE373" s="313"/>
      <c r="AF373" s="313"/>
      <c r="AG373" s="313"/>
      <c r="AH373" s="313"/>
      <c r="AI373" s="313"/>
      <c r="AJ373" s="313"/>
      <c r="AK373" s="313"/>
      <c r="AL373" s="313"/>
      <c r="AM373" s="313"/>
      <c r="AN373" s="313"/>
      <c r="AO373" s="313"/>
      <c r="AP373" s="163"/>
    </row>
    <row r="374" spans="2:42" x14ac:dyDescent="0.3">
      <c r="B374" s="6"/>
      <c r="C374" s="6"/>
      <c r="D374" s="6">
        <f t="shared" si="25"/>
        <v>9</v>
      </c>
      <c r="E374" s="641" t="str">
        <f t="shared" si="27"/>
        <v>Total ESS Charge MWh</v>
      </c>
      <c r="F374" s="303"/>
      <c r="G374" s="303"/>
      <c r="H374" s="310"/>
      <c r="I374" s="308">
        <v>1717.6470592400806</v>
      </c>
      <c r="J374" s="308">
        <v>1717.6470588235327</v>
      </c>
      <c r="K374" s="308">
        <v>1717.6470588235316</v>
      </c>
      <c r="L374" s="618">
        <v>1717.647059240802</v>
      </c>
      <c r="M374" s="618">
        <v>1717.6470588235286</v>
      </c>
      <c r="N374" s="618">
        <v>1717.6470521098497</v>
      </c>
      <c r="O374" s="618">
        <v>1717.6470453961706</v>
      </c>
      <c r="P374" s="618">
        <v>1717.6470386824917</v>
      </c>
      <c r="Q374" s="618">
        <v>1717.6470319688126</v>
      </c>
      <c r="R374" s="618">
        <v>1717.6470252551337</v>
      </c>
      <c r="S374" s="618">
        <v>1717.6470157897706</v>
      </c>
      <c r="T374" s="618">
        <v>1717.6470063244076</v>
      </c>
      <c r="U374" s="618">
        <v>1717.6469968590447</v>
      </c>
      <c r="V374" s="618">
        <v>1717.6469873936817</v>
      </c>
      <c r="W374" s="618">
        <v>1717.6469779283186</v>
      </c>
      <c r="X374" s="618">
        <v>1717.6469793319916</v>
      </c>
      <c r="Y374" s="618">
        <v>1717.6469807356646</v>
      </c>
      <c r="Z374" s="618">
        <v>1717.6469821393378</v>
      </c>
      <c r="AA374" s="618">
        <v>1717.6469835430107</v>
      </c>
      <c r="AB374" s="308">
        <v>1717.6469849466837</v>
      </c>
      <c r="AC374" s="309"/>
      <c r="AD374" s="309"/>
      <c r="AE374" s="309"/>
      <c r="AF374" s="309"/>
      <c r="AG374" s="309"/>
      <c r="AH374" s="309"/>
      <c r="AI374" s="309"/>
      <c r="AJ374" s="309"/>
      <c r="AK374" s="309"/>
      <c r="AL374" s="309"/>
      <c r="AM374" s="309"/>
      <c r="AN374" s="309"/>
      <c r="AO374" s="309"/>
      <c r="AP374" s="163"/>
    </row>
    <row r="375" spans="2:42" x14ac:dyDescent="0.3">
      <c r="B375" s="6"/>
      <c r="C375" s="6"/>
      <c r="D375" s="6">
        <f t="shared" si="25"/>
        <v>9</v>
      </c>
      <c r="E375" s="642" t="str">
        <f t="shared" si="27"/>
        <v>Avg Generation Capacity</v>
      </c>
      <c r="F375" s="303"/>
      <c r="G375" s="303"/>
      <c r="H375" s="310"/>
      <c r="I375" s="308">
        <v>1.25E-3</v>
      </c>
      <c r="J375" s="308">
        <v>0</v>
      </c>
      <c r="K375" s="308">
        <v>1E-3</v>
      </c>
      <c r="L375" s="308">
        <v>0</v>
      </c>
      <c r="M375" s="308">
        <v>0</v>
      </c>
      <c r="N375" s="308">
        <v>5.0000000000000001E-4</v>
      </c>
      <c r="O375" s="308">
        <v>1E-3</v>
      </c>
      <c r="P375" s="308">
        <v>1.5000000000000002E-3</v>
      </c>
      <c r="Q375" s="308">
        <v>2E-3</v>
      </c>
      <c r="R375" s="308">
        <v>2.5000000000000001E-3</v>
      </c>
      <c r="S375" s="308">
        <v>2E-3</v>
      </c>
      <c r="T375" s="308">
        <v>1.5E-3</v>
      </c>
      <c r="U375" s="308">
        <v>9.999999999999998E-4</v>
      </c>
      <c r="V375" s="308">
        <v>4.1666666666666658E-4</v>
      </c>
      <c r="W375" s="308">
        <v>0</v>
      </c>
      <c r="X375" s="308">
        <v>0</v>
      </c>
      <c r="Y375" s="308">
        <v>0</v>
      </c>
      <c r="Z375" s="308">
        <v>0</v>
      </c>
      <c r="AA375" s="308">
        <v>0</v>
      </c>
      <c r="AB375" s="308">
        <v>0</v>
      </c>
      <c r="AC375" s="309"/>
      <c r="AD375" s="309"/>
      <c r="AE375" s="309"/>
      <c r="AF375" s="309"/>
      <c r="AG375" s="309"/>
      <c r="AH375" s="309"/>
      <c r="AI375" s="309"/>
      <c r="AJ375" s="309"/>
      <c r="AK375" s="309"/>
      <c r="AL375" s="309"/>
      <c r="AM375" s="309"/>
      <c r="AN375" s="309"/>
      <c r="AO375" s="309"/>
      <c r="AP375" s="163"/>
    </row>
    <row r="376" spans="2:42" x14ac:dyDescent="0.3">
      <c r="B376" s="6"/>
      <c r="C376" s="6"/>
      <c r="D376" s="6">
        <f t="shared" si="25"/>
        <v>9</v>
      </c>
      <c r="E376" s="642" t="str">
        <f t="shared" si="27"/>
        <v>Avg Transmission Capacity</v>
      </c>
      <c r="F376" s="303"/>
      <c r="G376" s="303"/>
      <c r="H376" s="310"/>
      <c r="I376" s="308">
        <v>1.25E-3</v>
      </c>
      <c r="J376" s="308">
        <v>0</v>
      </c>
      <c r="K376" s="308">
        <v>1E-3</v>
      </c>
      <c r="L376" s="308">
        <v>0</v>
      </c>
      <c r="M376" s="308">
        <v>0</v>
      </c>
      <c r="N376" s="308">
        <v>5.0000000000000001E-4</v>
      </c>
      <c r="O376" s="308">
        <v>1E-3</v>
      </c>
      <c r="P376" s="308">
        <v>1.5000000000000002E-3</v>
      </c>
      <c r="Q376" s="308">
        <v>2E-3</v>
      </c>
      <c r="R376" s="308">
        <v>2.5000000000000001E-3</v>
      </c>
      <c r="S376" s="308">
        <v>2E-3</v>
      </c>
      <c r="T376" s="308">
        <v>1.5E-3</v>
      </c>
      <c r="U376" s="308">
        <v>9.999999999999998E-4</v>
      </c>
      <c r="V376" s="308">
        <v>4.1666666666666658E-4</v>
      </c>
      <c r="W376" s="308">
        <v>0</v>
      </c>
      <c r="X376" s="308">
        <v>0</v>
      </c>
      <c r="Y376" s="308">
        <v>0</v>
      </c>
      <c r="Z376" s="308">
        <v>0</v>
      </c>
      <c r="AA376" s="308">
        <v>0</v>
      </c>
      <c r="AB376" s="308">
        <v>0</v>
      </c>
      <c r="AC376" s="309"/>
      <c r="AD376" s="309"/>
      <c r="AE376" s="309"/>
      <c r="AF376" s="309"/>
      <c r="AG376" s="309"/>
      <c r="AH376" s="309"/>
      <c r="AI376" s="309"/>
      <c r="AJ376" s="309"/>
      <c r="AK376" s="309"/>
      <c r="AL376" s="309"/>
      <c r="AM376" s="309"/>
      <c r="AN376" s="309"/>
      <c r="AO376" s="309"/>
      <c r="AP376" s="163"/>
    </row>
    <row r="377" spans="2:42" x14ac:dyDescent="0.3">
      <c r="B377" s="6"/>
      <c r="C377" s="6"/>
      <c r="D377" s="6">
        <f t="shared" si="25"/>
        <v>9</v>
      </c>
      <c r="E377" s="642" t="str">
        <f t="shared" si="27"/>
        <v>Avg Distribution Capacity</v>
      </c>
      <c r="F377" s="303"/>
      <c r="G377" s="303"/>
      <c r="H377" s="310"/>
      <c r="I377" s="308">
        <v>6.2500000000000001E-4</v>
      </c>
      <c r="J377" s="308">
        <v>0</v>
      </c>
      <c r="K377" s="308">
        <v>4.4215686274509799E-3</v>
      </c>
      <c r="L377" s="618">
        <v>2.0499999999999997E-2</v>
      </c>
      <c r="M377" s="618">
        <v>2.5000000000000001E-3</v>
      </c>
      <c r="N377" s="618">
        <v>6.5000000000000006E-3</v>
      </c>
      <c r="O377" s="618">
        <v>1.0500000000000001E-2</v>
      </c>
      <c r="P377" s="618">
        <v>1.4500000000000002E-2</v>
      </c>
      <c r="Q377" s="618">
        <v>1.8500000000000003E-2</v>
      </c>
      <c r="R377" s="618">
        <v>2.2499999999999999E-2</v>
      </c>
      <c r="S377" s="618">
        <v>1.8100000000000002E-2</v>
      </c>
      <c r="T377" s="618">
        <v>1.3699999999999999E-2</v>
      </c>
      <c r="U377" s="618">
        <v>9.2999999999999975E-3</v>
      </c>
      <c r="V377" s="618">
        <v>4.0833333333333312E-3</v>
      </c>
      <c r="W377" s="618">
        <v>4.1666666666666669E-4</v>
      </c>
      <c r="X377" s="618">
        <v>3.9509492609515751E-3</v>
      </c>
      <c r="Y377" s="618">
        <v>7.4852318552364842E-3</v>
      </c>
      <c r="Z377" s="618">
        <v>1.1019514449521393E-2</v>
      </c>
      <c r="AA377" s="618">
        <v>1.4553797043806301E-2</v>
      </c>
      <c r="AB377" s="308">
        <v>1.8088079638091208E-2</v>
      </c>
      <c r="AC377" s="309"/>
      <c r="AD377" s="309"/>
      <c r="AE377" s="309"/>
      <c r="AF377" s="309"/>
      <c r="AG377" s="309"/>
      <c r="AH377" s="309"/>
      <c r="AI377" s="309"/>
      <c r="AJ377" s="309"/>
      <c r="AK377" s="309"/>
      <c r="AL377" s="309"/>
      <c r="AM377" s="309"/>
      <c r="AN377" s="309"/>
      <c r="AO377" s="309"/>
      <c r="AP377" s="163"/>
    </row>
    <row r="378" spans="2:42" x14ac:dyDescent="0.3">
      <c r="B378" s="6"/>
      <c r="C378" s="6"/>
      <c r="D378" s="6">
        <f t="shared" si="25"/>
        <v>9</v>
      </c>
      <c r="E378" s="642" t="str">
        <f t="shared" si="27"/>
        <v>GHG Impacts</v>
      </c>
      <c r="F378" s="303"/>
      <c r="G378" s="303"/>
      <c r="H378" s="310"/>
      <c r="I378" s="308">
        <v>1716.5935702331972</v>
      </c>
      <c r="J378" s="308">
        <v>1708.905999303815</v>
      </c>
      <c r="K378" s="308">
        <v>1690.5721544963071</v>
      </c>
      <c r="L378" s="618">
        <v>1634.2370463189279</v>
      </c>
      <c r="M378" s="618">
        <v>1513.7318540162057</v>
      </c>
      <c r="N378" s="618">
        <v>1389.5692253430991</v>
      </c>
      <c r="O378" s="618">
        <v>1265.4065966699927</v>
      </c>
      <c r="P378" s="618">
        <v>1141.2439679968861</v>
      </c>
      <c r="Q378" s="618">
        <v>1017.0813393237795</v>
      </c>
      <c r="R378" s="618">
        <v>892.91871065067301</v>
      </c>
      <c r="S378" s="618">
        <v>824.31866308516146</v>
      </c>
      <c r="T378" s="618">
        <v>755.71861551964992</v>
      </c>
      <c r="U378" s="618">
        <v>687.11856795413837</v>
      </c>
      <c r="V378" s="618">
        <v>618.51852038862683</v>
      </c>
      <c r="W378" s="618">
        <v>549.91847282311528</v>
      </c>
      <c r="X378" s="618">
        <v>494.79240268878527</v>
      </c>
      <c r="Y378" s="618">
        <v>439.66633255445532</v>
      </c>
      <c r="Z378" s="618">
        <v>384.54026242012532</v>
      </c>
      <c r="AA378" s="618">
        <v>329.41419228579537</v>
      </c>
      <c r="AB378" s="308">
        <v>274.28812215146536</v>
      </c>
      <c r="AC378" s="309"/>
      <c r="AD378" s="309"/>
      <c r="AE378" s="309"/>
      <c r="AF378" s="309"/>
      <c r="AG378" s="309"/>
      <c r="AH378" s="309"/>
      <c r="AI378" s="309"/>
      <c r="AJ378" s="309"/>
      <c r="AK378" s="309"/>
      <c r="AL378" s="309"/>
      <c r="AM378" s="309"/>
      <c r="AN378" s="309"/>
      <c r="AO378" s="309"/>
      <c r="AP378" s="163"/>
    </row>
    <row r="379" spans="2:42" x14ac:dyDescent="0.3">
      <c r="B379" s="6"/>
      <c r="C379" s="6"/>
      <c r="D379" s="6">
        <f t="shared" si="25"/>
        <v>9</v>
      </c>
      <c r="E379" s="642" t="str">
        <f t="shared" si="27"/>
        <v>Market Price Effects - Wholesale Energy</v>
      </c>
      <c r="F379" s="303"/>
      <c r="G379" s="303"/>
      <c r="H379" s="310"/>
      <c r="I379" s="308">
        <v>1717.6470592400792</v>
      </c>
      <c r="J379" s="308">
        <v>1717.647058823532</v>
      </c>
      <c r="K379" s="308">
        <v>1717.6470588235325</v>
      </c>
      <c r="L379" s="618">
        <v>1717.6470592407993</v>
      </c>
      <c r="M379" s="618">
        <v>1717.64705882353</v>
      </c>
      <c r="N379" s="618">
        <v>1717.6470521098522</v>
      </c>
      <c r="O379" s="618">
        <v>1717.6470453961742</v>
      </c>
      <c r="P379" s="618">
        <v>1717.6470386824965</v>
      </c>
      <c r="Q379" s="618">
        <v>1717.6470319688185</v>
      </c>
      <c r="R379" s="618">
        <v>1717.6470252551408</v>
      </c>
      <c r="S379" s="618">
        <v>1717.6470157897766</v>
      </c>
      <c r="T379" s="618">
        <v>1717.6470063244124</v>
      </c>
      <c r="U379" s="618">
        <v>1717.6469968590484</v>
      </c>
      <c r="V379" s="618">
        <v>1717.6469873936842</v>
      </c>
      <c r="W379" s="618">
        <v>1717.64697792832</v>
      </c>
      <c r="X379" s="618">
        <v>1717.6469793319925</v>
      </c>
      <c r="Y379" s="618">
        <v>1717.6469807356648</v>
      </c>
      <c r="Z379" s="618">
        <v>1717.6469821393373</v>
      </c>
      <c r="AA379" s="618">
        <v>1717.6469835430096</v>
      </c>
      <c r="AB379" s="308">
        <v>1717.6469849466821</v>
      </c>
      <c r="AC379" s="309"/>
      <c r="AD379" s="309"/>
      <c r="AE379" s="309"/>
      <c r="AF379" s="309"/>
      <c r="AG379" s="309"/>
      <c r="AH379" s="309"/>
      <c r="AI379" s="309"/>
      <c r="AJ379" s="309"/>
      <c r="AK379" s="309"/>
      <c r="AL379" s="309"/>
      <c r="AM379" s="309"/>
      <c r="AN379" s="309"/>
      <c r="AO379" s="309"/>
      <c r="AP379" s="163"/>
    </row>
    <row r="380" spans="2:42" x14ac:dyDescent="0.3">
      <c r="B380" s="6"/>
      <c r="C380" s="6"/>
      <c r="D380" s="6">
        <f t="shared" si="25"/>
        <v>9</v>
      </c>
      <c r="E380" s="643" t="str">
        <f t="shared" si="27"/>
        <v>Market Price Effects - Wholesale Capacity</v>
      </c>
      <c r="F380" s="303"/>
      <c r="I380" s="308">
        <v>0</v>
      </c>
      <c r="J380" s="308">
        <v>0</v>
      </c>
      <c r="K380" s="308">
        <v>0</v>
      </c>
      <c r="L380" s="618">
        <v>0</v>
      </c>
      <c r="M380" s="618">
        <v>0</v>
      </c>
      <c r="N380" s="618">
        <v>0</v>
      </c>
      <c r="O380" s="618">
        <v>0</v>
      </c>
      <c r="P380" s="618">
        <v>0</v>
      </c>
      <c r="Q380" s="618">
        <v>0</v>
      </c>
      <c r="R380" s="618">
        <v>0</v>
      </c>
      <c r="S380" s="618">
        <v>0</v>
      </c>
      <c r="T380" s="618">
        <v>0</v>
      </c>
      <c r="U380" s="618">
        <v>0</v>
      </c>
      <c r="V380" s="618">
        <v>0</v>
      </c>
      <c r="W380" s="618">
        <v>0</v>
      </c>
      <c r="X380" s="618">
        <v>0</v>
      </c>
      <c r="Y380" s="618">
        <v>0</v>
      </c>
      <c r="Z380" s="618">
        <v>0</v>
      </c>
      <c r="AA380" s="618">
        <v>0</v>
      </c>
      <c r="AB380" s="308">
        <v>0</v>
      </c>
      <c r="AC380" s="309"/>
      <c r="AD380" s="309"/>
      <c r="AE380" s="309"/>
      <c r="AF380" s="309"/>
      <c r="AG380" s="309"/>
      <c r="AH380" s="309"/>
      <c r="AI380" s="309"/>
      <c r="AJ380" s="309"/>
      <c r="AK380" s="309"/>
      <c r="AL380" s="309"/>
      <c r="AM380" s="309"/>
      <c r="AN380" s="309"/>
      <c r="AO380" s="309"/>
      <c r="AP380" s="163"/>
    </row>
    <row r="381" spans="2:42" x14ac:dyDescent="0.3">
      <c r="B381" s="6"/>
      <c r="C381" s="6"/>
      <c r="D381" s="6">
        <f t="shared" si="25"/>
        <v>9</v>
      </c>
      <c r="E381" s="640" t="str">
        <f t="shared" si="27"/>
        <v>Disharge MWh</v>
      </c>
      <c r="I381" s="505"/>
      <c r="J381" s="505"/>
      <c r="K381" s="505"/>
      <c r="L381" s="505"/>
      <c r="M381" s="505"/>
      <c r="N381" s="505"/>
      <c r="O381" s="505"/>
      <c r="P381" s="505"/>
      <c r="Q381" s="505"/>
      <c r="R381" s="505"/>
      <c r="S381" s="505"/>
      <c r="T381" s="505"/>
      <c r="U381" s="505"/>
      <c r="V381" s="505"/>
      <c r="W381" s="505"/>
      <c r="X381" s="505"/>
      <c r="Y381" s="505"/>
      <c r="Z381" s="505"/>
      <c r="AA381" s="505"/>
      <c r="AB381" s="505"/>
      <c r="AC381" s="15"/>
      <c r="AD381" s="15"/>
      <c r="AE381" s="15"/>
      <c r="AF381" s="15"/>
      <c r="AG381" s="15"/>
      <c r="AH381" s="15"/>
      <c r="AI381" s="15"/>
      <c r="AJ381" s="15"/>
      <c r="AK381" s="15"/>
      <c r="AL381" s="15"/>
      <c r="AM381" s="15"/>
      <c r="AN381" s="15"/>
      <c r="AO381" s="15"/>
      <c r="AP381" s="163"/>
    </row>
    <row r="382" spans="2:42" x14ac:dyDescent="0.3">
      <c r="B382" s="6"/>
      <c r="C382" s="6"/>
      <c r="D382" s="6">
        <f t="shared" si="25"/>
        <v>9</v>
      </c>
      <c r="E382" s="641" t="str">
        <f t="shared" si="27"/>
        <v>Total ESS DCharge MWh</v>
      </c>
      <c r="I382" s="308">
        <v>1460.0000018907924</v>
      </c>
      <c r="J382" s="308">
        <v>1460.0000000000045</v>
      </c>
      <c r="K382" s="308">
        <v>1459.9999999999993</v>
      </c>
      <c r="L382" s="618">
        <v>1460.0000003204539</v>
      </c>
      <c r="M382" s="618">
        <v>1459.9999999999952</v>
      </c>
      <c r="N382" s="618">
        <v>1459.9999998975416</v>
      </c>
      <c r="O382" s="618">
        <v>1459.9999997950879</v>
      </c>
      <c r="P382" s="618">
        <v>1459.999999692634</v>
      </c>
      <c r="Q382" s="618">
        <v>1459.9999995901803</v>
      </c>
      <c r="R382" s="618">
        <v>1459.9999994877267</v>
      </c>
      <c r="S382" s="618">
        <v>1459.9999995901806</v>
      </c>
      <c r="T382" s="618">
        <v>1459.9999996926342</v>
      </c>
      <c r="U382" s="618">
        <v>1459.9999997950881</v>
      </c>
      <c r="V382" s="618">
        <v>1459.9999998975418</v>
      </c>
      <c r="W382" s="618">
        <v>1459.9999999999957</v>
      </c>
      <c r="X382" s="618">
        <v>1459.999999999995</v>
      </c>
      <c r="Y382" s="618">
        <v>1459.9999999999943</v>
      </c>
      <c r="Z382" s="618">
        <v>1459.9999999999936</v>
      </c>
      <c r="AA382" s="618">
        <v>1459.999999999993</v>
      </c>
      <c r="AB382" s="308">
        <v>1459.9999999999923</v>
      </c>
      <c r="AC382" s="309"/>
      <c r="AD382" s="309"/>
      <c r="AE382" s="309"/>
      <c r="AF382" s="309"/>
      <c r="AG382" s="309"/>
      <c r="AH382" s="309"/>
      <c r="AI382" s="309"/>
      <c r="AJ382" s="309"/>
      <c r="AK382" s="309"/>
      <c r="AL382" s="309"/>
      <c r="AM382" s="309"/>
      <c r="AN382" s="309"/>
      <c r="AO382" s="309"/>
      <c r="AP382" s="163"/>
    </row>
    <row r="383" spans="2:42" x14ac:dyDescent="0.3">
      <c r="B383" s="6"/>
      <c r="C383" s="6"/>
      <c r="D383" s="6">
        <f t="shared" si="25"/>
        <v>9</v>
      </c>
      <c r="E383" s="642" t="str">
        <f t="shared" si="27"/>
        <v>Avg Generation Capacity</v>
      </c>
      <c r="F383" s="303"/>
      <c r="I383" s="308">
        <v>0.9910177837185975</v>
      </c>
      <c r="J383" s="308">
        <v>0.95920932726575603</v>
      </c>
      <c r="K383" s="308">
        <v>0.78799650920861974</v>
      </c>
      <c r="L383" s="618">
        <v>0.79825739703206888</v>
      </c>
      <c r="M383" s="618">
        <v>0.79785545514728606</v>
      </c>
      <c r="N383" s="618">
        <v>0.79792505112660239</v>
      </c>
      <c r="O383" s="618">
        <v>0.79799464710591861</v>
      </c>
      <c r="P383" s="618">
        <v>0.79806424308523471</v>
      </c>
      <c r="Q383" s="618">
        <v>0.79813383906455104</v>
      </c>
      <c r="R383" s="618">
        <v>0.79820343504386726</v>
      </c>
      <c r="S383" s="618">
        <v>0.79816742330487211</v>
      </c>
      <c r="T383" s="618">
        <v>0.79813141156587708</v>
      </c>
      <c r="U383" s="618">
        <v>0.79809539982688205</v>
      </c>
      <c r="V383" s="618">
        <v>0.6650494900732391</v>
      </c>
      <c r="W383" s="618">
        <v>0.6650194802907432</v>
      </c>
      <c r="X383" s="618">
        <v>0.66300279376302229</v>
      </c>
      <c r="Y383" s="618">
        <v>0.66098610723530138</v>
      </c>
      <c r="Z383" s="618">
        <v>0.65896942070758058</v>
      </c>
      <c r="AA383" s="618">
        <v>0.65695273417985978</v>
      </c>
      <c r="AB383" s="308">
        <v>0.65493604765213886</v>
      </c>
      <c r="AC383" s="309"/>
      <c r="AD383" s="309"/>
      <c r="AE383" s="309"/>
      <c r="AF383" s="309"/>
      <c r="AG383" s="309"/>
      <c r="AH383" s="309"/>
      <c r="AI383" s="309"/>
      <c r="AJ383" s="309"/>
      <c r="AK383" s="309"/>
      <c r="AL383" s="309"/>
      <c r="AM383" s="309"/>
      <c r="AN383" s="309"/>
      <c r="AO383" s="309"/>
      <c r="AP383" s="163"/>
    </row>
    <row r="384" spans="2:42" x14ac:dyDescent="0.3">
      <c r="B384" s="6"/>
      <c r="C384" s="6"/>
      <c r="D384" s="6">
        <f t="shared" si="25"/>
        <v>9</v>
      </c>
      <c r="E384" s="642" t="str">
        <f t="shared" si="27"/>
        <v>Avg Transmission Capacity</v>
      </c>
      <c r="F384" s="303"/>
      <c r="I384" s="308">
        <v>0.9910177837185975</v>
      </c>
      <c r="J384" s="308">
        <v>0.95920932726575603</v>
      </c>
      <c r="K384" s="308">
        <v>0.78799650920861974</v>
      </c>
      <c r="L384" s="618">
        <v>0.79825739703206888</v>
      </c>
      <c r="M384" s="618">
        <v>0.79785545514728606</v>
      </c>
      <c r="N384" s="618">
        <v>0.79792505112660239</v>
      </c>
      <c r="O384" s="618">
        <v>0.79799464710591861</v>
      </c>
      <c r="P384" s="618">
        <v>0.79806424308523471</v>
      </c>
      <c r="Q384" s="618">
        <v>0.79813383906455104</v>
      </c>
      <c r="R384" s="618">
        <v>0.79820343504386726</v>
      </c>
      <c r="S384" s="618">
        <v>0.79816742330487211</v>
      </c>
      <c r="T384" s="618">
        <v>0.79813141156587708</v>
      </c>
      <c r="U384" s="618">
        <v>0.79809539982688205</v>
      </c>
      <c r="V384" s="618">
        <v>0.6650494900732391</v>
      </c>
      <c r="W384" s="618">
        <v>0.6650194802907432</v>
      </c>
      <c r="X384" s="618">
        <v>0.66300279376302229</v>
      </c>
      <c r="Y384" s="618">
        <v>0.66098610723530138</v>
      </c>
      <c r="Z384" s="618">
        <v>0.65896942070758058</v>
      </c>
      <c r="AA384" s="618">
        <v>0.65695273417985978</v>
      </c>
      <c r="AB384" s="308">
        <v>0.65493604765213886</v>
      </c>
      <c r="AC384" s="309"/>
      <c r="AD384" s="309"/>
      <c r="AE384" s="309"/>
      <c r="AF384" s="309"/>
      <c r="AG384" s="309"/>
      <c r="AH384" s="309"/>
      <c r="AI384" s="309"/>
      <c r="AJ384" s="309"/>
      <c r="AK384" s="309"/>
      <c r="AL384" s="309"/>
      <c r="AM384" s="309"/>
      <c r="AN384" s="309"/>
      <c r="AO384" s="309"/>
      <c r="AP384" s="163"/>
    </row>
    <row r="385" spans="2:42" x14ac:dyDescent="0.3">
      <c r="B385" s="6"/>
      <c r="C385" s="6"/>
      <c r="D385" s="6">
        <f t="shared" si="25"/>
        <v>9</v>
      </c>
      <c r="E385" s="642" t="str">
        <f t="shared" si="27"/>
        <v>Avg Distribution Capacity</v>
      </c>
      <c r="F385" s="303"/>
      <c r="I385" s="308">
        <v>0.9199862895578228</v>
      </c>
      <c r="J385" s="308">
        <v>0.94858173483729347</v>
      </c>
      <c r="K385" s="308">
        <v>0.76777583681861472</v>
      </c>
      <c r="L385" s="618">
        <v>0.78830472474769409</v>
      </c>
      <c r="M385" s="618">
        <v>0.7909625460614228</v>
      </c>
      <c r="N385" s="618">
        <v>0.79414988512014217</v>
      </c>
      <c r="O385" s="618">
        <v>0.79733722417886155</v>
      </c>
      <c r="P385" s="618">
        <v>0.80052456323758081</v>
      </c>
      <c r="Q385" s="618">
        <v>0.80371190229630018</v>
      </c>
      <c r="R385" s="618">
        <v>0.80689924135501956</v>
      </c>
      <c r="S385" s="618">
        <v>0.7967616128774927</v>
      </c>
      <c r="T385" s="618">
        <v>0.78662398439996595</v>
      </c>
      <c r="U385" s="618">
        <v>0.77648635592243909</v>
      </c>
      <c r="V385" s="618">
        <v>0.63862393953742691</v>
      </c>
      <c r="W385" s="618">
        <v>0.63017591580615451</v>
      </c>
      <c r="X385" s="618">
        <v>0.62669592743530544</v>
      </c>
      <c r="Y385" s="618">
        <v>0.62321593906445638</v>
      </c>
      <c r="Z385" s="618">
        <v>0.61973595069360721</v>
      </c>
      <c r="AA385" s="618">
        <v>0.61625596232275803</v>
      </c>
      <c r="AB385" s="308">
        <v>0.61277597395190897</v>
      </c>
      <c r="AC385" s="309"/>
      <c r="AD385" s="309"/>
      <c r="AE385" s="309"/>
      <c r="AF385" s="309"/>
      <c r="AG385" s="309"/>
      <c r="AH385" s="309"/>
      <c r="AI385" s="309"/>
      <c r="AJ385" s="309"/>
      <c r="AK385" s="309"/>
      <c r="AL385" s="309"/>
      <c r="AM385" s="309"/>
      <c r="AN385" s="309"/>
      <c r="AO385" s="309"/>
      <c r="AP385" s="163"/>
    </row>
    <row r="386" spans="2:42" x14ac:dyDescent="0.3">
      <c r="B386" s="6"/>
      <c r="C386" s="6"/>
      <c r="D386" s="6">
        <f t="shared" si="25"/>
        <v>9</v>
      </c>
      <c r="E386" s="642" t="str">
        <f t="shared" si="27"/>
        <v>GHG Impacts</v>
      </c>
      <c r="F386" s="303"/>
      <c r="I386" s="308">
        <v>1460.0000018907949</v>
      </c>
      <c r="J386" s="308">
        <v>1460.0000000000023</v>
      </c>
      <c r="K386" s="308">
        <v>1460.0000000000027</v>
      </c>
      <c r="L386" s="618">
        <v>1460.0000003204541</v>
      </c>
      <c r="M386" s="618">
        <v>1459.8763733678175</v>
      </c>
      <c r="N386" s="618">
        <v>1459.79105513268</v>
      </c>
      <c r="O386" s="618">
        <v>1459.7057368975422</v>
      </c>
      <c r="P386" s="618">
        <v>1459.6204186624047</v>
      </c>
      <c r="Q386" s="618">
        <v>1459.535100427267</v>
      </c>
      <c r="R386" s="618">
        <v>1459.4497821921295</v>
      </c>
      <c r="S386" s="618">
        <v>1458.1398216980285</v>
      </c>
      <c r="T386" s="618">
        <v>1456.8298612039275</v>
      </c>
      <c r="U386" s="618">
        <v>1455.5199007098263</v>
      </c>
      <c r="V386" s="618">
        <v>1454.2099402157253</v>
      </c>
      <c r="W386" s="618">
        <v>1452.8999797216243</v>
      </c>
      <c r="X386" s="618">
        <v>1448.2551318342103</v>
      </c>
      <c r="Y386" s="618">
        <v>1443.6102839467962</v>
      </c>
      <c r="Z386" s="618">
        <v>1438.9654360593822</v>
      </c>
      <c r="AA386" s="618">
        <v>1434.3205881719682</v>
      </c>
      <c r="AB386" s="308">
        <v>1429.6757402845542</v>
      </c>
      <c r="AC386" s="309"/>
      <c r="AD386" s="309"/>
      <c r="AE386" s="309"/>
      <c r="AF386" s="309"/>
      <c r="AG386" s="309"/>
      <c r="AH386" s="309"/>
      <c r="AI386" s="309"/>
      <c r="AJ386" s="309"/>
      <c r="AK386" s="309"/>
      <c r="AL386" s="309"/>
      <c r="AM386" s="309"/>
      <c r="AN386" s="309"/>
      <c r="AO386" s="309"/>
      <c r="AP386" s="163"/>
    </row>
    <row r="387" spans="2:42" x14ac:dyDescent="0.3">
      <c r="B387" s="6"/>
      <c r="C387" s="6"/>
      <c r="D387" s="6">
        <f t="shared" si="25"/>
        <v>9</v>
      </c>
      <c r="E387" s="642" t="str">
        <f t="shared" si="27"/>
        <v>Market Price Effects - Wholesale Energy</v>
      </c>
      <c r="F387" s="303"/>
      <c r="I387" s="308">
        <v>1460.0000018907951</v>
      </c>
      <c r="J387" s="308">
        <v>1460.0000000000023</v>
      </c>
      <c r="K387" s="308">
        <v>1460.0000000000032</v>
      </c>
      <c r="L387" s="618">
        <v>1460.0000003204541</v>
      </c>
      <c r="M387" s="618">
        <v>1460.0000000000005</v>
      </c>
      <c r="N387" s="618">
        <v>1459.9999998975461</v>
      </c>
      <c r="O387" s="618">
        <v>1459.9999997950918</v>
      </c>
      <c r="P387" s="618">
        <v>1459.9999996926376</v>
      </c>
      <c r="Q387" s="618">
        <v>1459.9999995901833</v>
      </c>
      <c r="R387" s="618">
        <v>1459.9999994877289</v>
      </c>
      <c r="S387" s="618">
        <v>1459.9999995901831</v>
      </c>
      <c r="T387" s="618">
        <v>1459.9999996926372</v>
      </c>
      <c r="U387" s="618">
        <v>1459.9999997950911</v>
      </c>
      <c r="V387" s="618">
        <v>1459.9999998975452</v>
      </c>
      <c r="W387" s="618">
        <v>1459.9999999999993</v>
      </c>
      <c r="X387" s="618">
        <v>1459.9999999999989</v>
      </c>
      <c r="Y387" s="618">
        <v>1459.9999999999984</v>
      </c>
      <c r="Z387" s="618">
        <v>1459.9999999999982</v>
      </c>
      <c r="AA387" s="618">
        <v>1459.9999999999977</v>
      </c>
      <c r="AB387" s="308">
        <v>1459.9999999999973</v>
      </c>
      <c r="AC387" s="309"/>
      <c r="AD387" s="309"/>
      <c r="AE387" s="309"/>
      <c r="AF387" s="309"/>
      <c r="AG387" s="309"/>
      <c r="AH387" s="309"/>
      <c r="AI387" s="309"/>
      <c r="AJ387" s="309"/>
      <c r="AK387" s="309"/>
      <c r="AL387" s="309"/>
      <c r="AM387" s="309"/>
      <c r="AN387" s="309"/>
      <c r="AO387" s="309"/>
      <c r="AP387" s="163"/>
    </row>
    <row r="388" spans="2:42" x14ac:dyDescent="0.3">
      <c r="B388" s="6"/>
      <c r="C388" s="6"/>
      <c r="D388" s="6">
        <f t="shared" si="25"/>
        <v>9</v>
      </c>
      <c r="E388" s="642" t="str">
        <f t="shared" si="27"/>
        <v>Market Price Effects - Wholesale Capacity</v>
      </c>
      <c r="F388" s="303"/>
      <c r="I388" s="308">
        <v>0</v>
      </c>
      <c r="J388" s="308">
        <v>0</v>
      </c>
      <c r="K388" s="308">
        <v>0</v>
      </c>
      <c r="L388" s="618">
        <v>0</v>
      </c>
      <c r="M388" s="618">
        <v>0</v>
      </c>
      <c r="N388" s="618">
        <v>0</v>
      </c>
      <c r="O388" s="618">
        <v>0</v>
      </c>
      <c r="P388" s="618">
        <v>0</v>
      </c>
      <c r="Q388" s="618">
        <v>0</v>
      </c>
      <c r="R388" s="618">
        <v>0</v>
      </c>
      <c r="S388" s="618">
        <v>0</v>
      </c>
      <c r="T388" s="618">
        <v>0</v>
      </c>
      <c r="U388" s="618">
        <v>0</v>
      </c>
      <c r="V388" s="618">
        <v>0</v>
      </c>
      <c r="W388" s="618">
        <v>0</v>
      </c>
      <c r="X388" s="618">
        <v>0</v>
      </c>
      <c r="Y388" s="618">
        <v>0</v>
      </c>
      <c r="Z388" s="618">
        <v>0</v>
      </c>
      <c r="AA388" s="618">
        <v>0</v>
      </c>
      <c r="AB388" s="308">
        <v>0</v>
      </c>
      <c r="AC388" s="309"/>
      <c r="AD388" s="309"/>
      <c r="AE388" s="309"/>
      <c r="AF388" s="309"/>
      <c r="AG388" s="309"/>
      <c r="AH388" s="309"/>
      <c r="AI388" s="309"/>
      <c r="AJ388" s="309"/>
      <c r="AK388" s="309"/>
      <c r="AL388" s="309"/>
      <c r="AM388" s="309"/>
      <c r="AN388" s="309"/>
      <c r="AO388" s="309"/>
      <c r="AP388" s="163"/>
    </row>
    <row r="389" spans="2:42" x14ac:dyDescent="0.3">
      <c r="B389" s="6"/>
      <c r="C389" s="6"/>
      <c r="D389" s="6">
        <f t="shared" si="25"/>
        <v>9</v>
      </c>
      <c r="E389" s="544"/>
      <c r="F389" s="545"/>
      <c r="G389" s="545"/>
      <c r="H389" s="545"/>
      <c r="I389" s="545"/>
      <c r="J389" s="545"/>
      <c r="K389" s="545"/>
      <c r="L389" s="545"/>
      <c r="M389" s="545"/>
      <c r="N389" s="545"/>
      <c r="O389" s="545"/>
      <c r="P389" s="545"/>
      <c r="Q389" s="545"/>
      <c r="R389" s="545"/>
      <c r="S389" s="545"/>
      <c r="T389" s="545"/>
      <c r="U389" s="545"/>
      <c r="V389" s="545"/>
      <c r="W389" s="545"/>
      <c r="X389" s="545"/>
      <c r="Y389" s="545"/>
      <c r="Z389" s="545"/>
      <c r="AA389" s="545"/>
      <c r="AB389" s="545"/>
      <c r="AC389" s="545"/>
      <c r="AD389" s="545"/>
      <c r="AE389" s="545"/>
      <c r="AF389" s="545"/>
      <c r="AG389" s="545"/>
      <c r="AH389" s="545"/>
      <c r="AI389" s="545"/>
      <c r="AJ389" s="545"/>
      <c r="AK389" s="545"/>
      <c r="AL389" s="545"/>
      <c r="AM389" s="545"/>
      <c r="AN389" s="545"/>
      <c r="AO389" s="545"/>
      <c r="AP389" s="543"/>
    </row>
    <row r="390" spans="2:42" ht="21" x14ac:dyDescent="0.4">
      <c r="B390" s="6"/>
      <c r="C390" s="6"/>
      <c r="D390" s="6">
        <f t="shared" si="25"/>
        <v>10</v>
      </c>
      <c r="E390" s="632" t="str">
        <f>_xlfn.CONCAT(revenueSimulationID," ",$D390,"|",INDEX(StdConfigDesc,$D390,$E$29))</f>
        <v>Case 10|FTM - Market Participant (2 MW / 8 MWh)</v>
      </c>
      <c r="F390" s="633"/>
      <c r="G390" s="633"/>
      <c r="H390" s="633"/>
      <c r="I390" s="633"/>
      <c r="J390" s="633"/>
      <c r="K390" s="633"/>
      <c r="L390" s="633"/>
      <c r="M390" s="633"/>
      <c r="N390" s="633"/>
      <c r="O390" s="633"/>
      <c r="P390" s="633"/>
      <c r="Q390" s="633"/>
      <c r="R390" s="633"/>
      <c r="S390" s="633"/>
      <c r="T390" s="633"/>
      <c r="U390" s="633"/>
      <c r="V390" s="633"/>
      <c r="W390" s="633"/>
      <c r="X390" s="633"/>
      <c r="Y390" s="633"/>
      <c r="Z390" s="633"/>
      <c r="AA390" s="633"/>
      <c r="AB390" s="633"/>
      <c r="AC390" s="633"/>
      <c r="AD390" s="633"/>
      <c r="AE390" s="633"/>
      <c r="AF390" s="633"/>
      <c r="AG390" s="633"/>
      <c r="AH390" s="633"/>
      <c r="AI390" s="633"/>
      <c r="AJ390" s="633"/>
      <c r="AK390" s="633"/>
      <c r="AL390" s="633"/>
      <c r="AM390" s="633"/>
      <c r="AN390" s="633"/>
      <c r="AO390" s="633"/>
      <c r="AP390" s="634"/>
    </row>
    <row r="391" spans="2:42" ht="25.8" x14ac:dyDescent="0.5">
      <c r="B391" s="6"/>
      <c r="C391" s="6"/>
      <c r="D391" s="6">
        <f t="shared" ref="D391:D454" si="28">D351+1</f>
        <v>10</v>
      </c>
      <c r="E391" s="635"/>
      <c r="F391" s="2">
        <v>2025</v>
      </c>
      <c r="G391" s="2">
        <f>F391+1</f>
        <v>2026</v>
      </c>
      <c r="H391" s="2">
        <f t="shared" ref="H391:AO391" si="29">G391+1</f>
        <v>2027</v>
      </c>
      <c r="I391" s="2">
        <f t="shared" si="29"/>
        <v>2028</v>
      </c>
      <c r="J391" s="2">
        <f t="shared" si="29"/>
        <v>2029</v>
      </c>
      <c r="K391" s="2">
        <f t="shared" si="29"/>
        <v>2030</v>
      </c>
      <c r="L391" s="2">
        <f t="shared" si="29"/>
        <v>2031</v>
      </c>
      <c r="M391" s="2">
        <f t="shared" si="29"/>
        <v>2032</v>
      </c>
      <c r="N391" s="2">
        <f t="shared" si="29"/>
        <v>2033</v>
      </c>
      <c r="O391" s="2">
        <f t="shared" si="29"/>
        <v>2034</v>
      </c>
      <c r="P391" s="2">
        <f t="shared" si="29"/>
        <v>2035</v>
      </c>
      <c r="Q391" s="2">
        <f t="shared" si="29"/>
        <v>2036</v>
      </c>
      <c r="R391" s="2">
        <f t="shared" si="29"/>
        <v>2037</v>
      </c>
      <c r="S391" s="2">
        <f t="shared" si="29"/>
        <v>2038</v>
      </c>
      <c r="T391" s="2">
        <f t="shared" si="29"/>
        <v>2039</v>
      </c>
      <c r="U391" s="2">
        <f t="shared" si="29"/>
        <v>2040</v>
      </c>
      <c r="V391" s="2">
        <f t="shared" si="29"/>
        <v>2041</v>
      </c>
      <c r="W391" s="2">
        <f t="shared" si="29"/>
        <v>2042</v>
      </c>
      <c r="X391" s="2">
        <f t="shared" si="29"/>
        <v>2043</v>
      </c>
      <c r="Y391" s="2">
        <f t="shared" si="29"/>
        <v>2044</v>
      </c>
      <c r="Z391" s="2">
        <f t="shared" si="29"/>
        <v>2045</v>
      </c>
      <c r="AA391" s="2">
        <f t="shared" si="29"/>
        <v>2046</v>
      </c>
      <c r="AB391" s="2">
        <f t="shared" si="29"/>
        <v>2047</v>
      </c>
      <c r="AC391" s="2">
        <f t="shared" si="29"/>
        <v>2048</v>
      </c>
      <c r="AD391" s="2">
        <f t="shared" si="29"/>
        <v>2049</v>
      </c>
      <c r="AE391" s="2">
        <f t="shared" si="29"/>
        <v>2050</v>
      </c>
      <c r="AF391" s="2">
        <f t="shared" si="29"/>
        <v>2051</v>
      </c>
      <c r="AG391" s="2">
        <f t="shared" si="29"/>
        <v>2052</v>
      </c>
      <c r="AH391" s="2">
        <f t="shared" si="29"/>
        <v>2053</v>
      </c>
      <c r="AI391" s="2">
        <f t="shared" si="29"/>
        <v>2054</v>
      </c>
      <c r="AJ391" s="2">
        <f t="shared" si="29"/>
        <v>2055</v>
      </c>
      <c r="AK391" s="2">
        <f t="shared" si="29"/>
        <v>2056</v>
      </c>
      <c r="AL391" s="2">
        <f t="shared" si="29"/>
        <v>2057</v>
      </c>
      <c r="AM391" s="2">
        <f t="shared" si="29"/>
        <v>2058</v>
      </c>
      <c r="AN391" s="2">
        <f t="shared" si="29"/>
        <v>2059</v>
      </c>
      <c r="AO391" s="2">
        <f t="shared" si="29"/>
        <v>2060</v>
      </c>
      <c r="AP391" s="163"/>
    </row>
    <row r="392" spans="2:42" x14ac:dyDescent="0.3">
      <c r="B392" s="6"/>
      <c r="C392" s="6"/>
      <c r="D392" s="6">
        <f t="shared" si="28"/>
        <v>10</v>
      </c>
      <c r="E392" s="636" t="str">
        <f>E352</f>
        <v>Capacity - PJM Market</v>
      </c>
      <c r="F392" s="302"/>
      <c r="G392" s="317"/>
      <c r="H392" s="317"/>
      <c r="I392" s="317">
        <f>'Capacity Values'!D27</f>
        <v>138423.74974999999</v>
      </c>
      <c r="J392" s="317">
        <f>'Capacity Values'!E27</f>
        <v>154212.53796000005</v>
      </c>
      <c r="K392" s="317">
        <f>'Capacity Values'!F27</f>
        <v>168737.67791999999</v>
      </c>
      <c r="L392" s="317">
        <f>'Capacity Values'!G27</f>
        <v>143686.78037999998</v>
      </c>
      <c r="M392" s="317">
        <f>'Capacity Values'!H27</f>
        <v>119898.61056</v>
      </c>
      <c r="N392" s="317">
        <f>'Capacity Values'!I27</f>
        <v>115678.86599999999</v>
      </c>
      <c r="O392" s="317">
        <f>'Capacity Values'!J27</f>
        <v>113807.86650999999</v>
      </c>
      <c r="P392" s="317">
        <f>'Capacity Values'!K27</f>
        <v>113805.83200000001</v>
      </c>
      <c r="Q392" s="317">
        <f>'Capacity Values'!L27</f>
        <v>114536.26854</v>
      </c>
      <c r="R392" s="317">
        <f>'Capacity Values'!M27</f>
        <v>113807.02190000001</v>
      </c>
      <c r="S392" s="317">
        <f>'Capacity Values'!N27</f>
        <v>112618.50525</v>
      </c>
      <c r="T392" s="317">
        <f>'Capacity Values'!O27</f>
        <v>111055.54823999999</v>
      </c>
      <c r="U392" s="317">
        <f>'Capacity Values'!P27</f>
        <v>109005.01182000001</v>
      </c>
      <c r="V392" s="317">
        <f>'Capacity Values'!Q27</f>
        <v>107191.45822000001</v>
      </c>
      <c r="W392" s="317">
        <f>'Capacity Values'!R27</f>
        <v>105011.08253999999</v>
      </c>
      <c r="X392" s="317">
        <f>'Capacity Values'!S27</f>
        <v>102695.5678</v>
      </c>
      <c r="Y392" s="317">
        <f>'Capacity Values'!T27</f>
        <v>100313.55443999999</v>
      </c>
      <c r="Z392" s="317">
        <f>'Capacity Values'!U27</f>
        <v>97785.3177</v>
      </c>
      <c r="AA392" s="317">
        <f>'Capacity Values'!V27</f>
        <v>94708.106359999991</v>
      </c>
      <c r="AB392" s="317">
        <f>'Capacity Values'!W27</f>
        <v>91587.143200000006</v>
      </c>
      <c r="AC392" s="317"/>
      <c r="AD392" s="317"/>
      <c r="AE392" s="317"/>
      <c r="AF392" s="317"/>
      <c r="AG392" s="317"/>
      <c r="AH392" s="317"/>
      <c r="AI392" s="317"/>
      <c r="AJ392" s="317"/>
      <c r="AK392" s="317"/>
      <c r="AL392" s="317"/>
      <c r="AM392" s="317"/>
      <c r="AN392" s="317"/>
      <c r="AO392" s="317"/>
      <c r="AP392" s="163"/>
    </row>
    <row r="393" spans="2:42" x14ac:dyDescent="0.3">
      <c r="B393" s="6"/>
      <c r="C393" s="6"/>
      <c r="D393" s="6">
        <f t="shared" si="28"/>
        <v>10</v>
      </c>
      <c r="E393" s="636" t="str">
        <f t="shared" ref="E393:E428" si="30">E353</f>
        <v>Energy Arbitrage - PJM Market</v>
      </c>
      <c r="F393" s="303"/>
      <c r="G393" s="304"/>
      <c r="H393" s="304"/>
      <c r="I393" s="304">
        <v>100088.03071310288</v>
      </c>
      <c r="J393" s="304">
        <v>123646.27058842649</v>
      </c>
      <c r="K393" s="304">
        <v>136084.36100790577</v>
      </c>
      <c r="L393" s="304">
        <v>137172.10691076246</v>
      </c>
      <c r="M393" s="304">
        <v>149769.38335242582</v>
      </c>
      <c r="N393" s="304">
        <v>157594.669726739</v>
      </c>
      <c r="O393" s="304">
        <v>165419.95610105223</v>
      </c>
      <c r="P393" s="304">
        <v>173245.24247536543</v>
      </c>
      <c r="Q393" s="304">
        <v>181070.52884967861</v>
      </c>
      <c r="R393" s="304">
        <v>188895.81522399184</v>
      </c>
      <c r="S393" s="304">
        <v>215038.6059924197</v>
      </c>
      <c r="T393" s="304">
        <v>241181.39676084748</v>
      </c>
      <c r="U393" s="304">
        <v>267324.18752927543</v>
      </c>
      <c r="V393" s="304">
        <v>293466.97829770332</v>
      </c>
      <c r="W393" s="304">
        <v>319609.76906613121</v>
      </c>
      <c r="X393" s="304">
        <v>335913.77850943839</v>
      </c>
      <c r="Y393" s="304">
        <v>352217.7879527458</v>
      </c>
      <c r="Z393" s="304">
        <v>368521.79739605315</v>
      </c>
      <c r="AA393" s="304">
        <v>384825.80683936051</v>
      </c>
      <c r="AB393" s="304">
        <v>401129.8162826678</v>
      </c>
      <c r="AC393" s="304"/>
      <c r="AD393" s="304"/>
      <c r="AE393" s="304"/>
      <c r="AF393" s="304"/>
      <c r="AG393" s="304"/>
      <c r="AH393" s="304"/>
      <c r="AI393" s="304"/>
      <c r="AJ393" s="304"/>
      <c r="AK393" s="304"/>
      <c r="AL393" s="304"/>
      <c r="AM393" s="304"/>
      <c r="AN393" s="304"/>
      <c r="AO393" s="304"/>
      <c r="AP393" s="163"/>
    </row>
    <row r="394" spans="2:42" x14ac:dyDescent="0.3">
      <c r="B394" s="6"/>
      <c r="C394" s="6"/>
      <c r="D394" s="6">
        <f t="shared" si="28"/>
        <v>10</v>
      </c>
      <c r="E394" s="636" t="str">
        <f t="shared" si="30"/>
        <v>Spin- PJM Market</v>
      </c>
      <c r="F394" s="303"/>
      <c r="G394" s="304"/>
      <c r="H394" s="304"/>
      <c r="I394" s="304">
        <v>19191.229141211705</v>
      </c>
      <c r="J394" s="304">
        <v>18170.354409203472</v>
      </c>
      <c r="K394" s="304">
        <v>19298.444154123445</v>
      </c>
      <c r="L394" s="304">
        <v>17819.183369789276</v>
      </c>
      <c r="M394" s="304">
        <v>16590.494387613922</v>
      </c>
      <c r="N394" s="304">
        <v>16771.051995364527</v>
      </c>
      <c r="O394" s="304">
        <v>16951.609603115132</v>
      </c>
      <c r="P394" s="304">
        <v>17132.167210865737</v>
      </c>
      <c r="Q394" s="304">
        <v>17312.724818616342</v>
      </c>
      <c r="R394" s="304">
        <v>17493.282426366946</v>
      </c>
      <c r="S394" s="304">
        <v>18231.901298541579</v>
      </c>
      <c r="T394" s="304">
        <v>18970.520170716212</v>
      </c>
      <c r="U394" s="304">
        <v>19709.139042890842</v>
      </c>
      <c r="V394" s="304">
        <v>20447.757915065475</v>
      </c>
      <c r="W394" s="304">
        <v>21186.376787240108</v>
      </c>
      <c r="X394" s="304">
        <v>21977.947704386908</v>
      </c>
      <c r="Y394" s="304">
        <v>22769.518621533705</v>
      </c>
      <c r="Z394" s="304">
        <v>23561.089538680506</v>
      </c>
      <c r="AA394" s="304">
        <v>24352.660455827303</v>
      </c>
      <c r="AB394" s="304">
        <v>25144.231372974104</v>
      </c>
      <c r="AC394" s="304"/>
      <c r="AD394" s="304"/>
      <c r="AE394" s="304"/>
      <c r="AF394" s="304"/>
      <c r="AG394" s="304"/>
      <c r="AH394" s="304"/>
      <c r="AI394" s="304"/>
      <c r="AJ394" s="304"/>
      <c r="AK394" s="304"/>
      <c r="AL394" s="304"/>
      <c r="AM394" s="304"/>
      <c r="AN394" s="304"/>
      <c r="AO394" s="304"/>
      <c r="AP394" s="163"/>
    </row>
    <row r="395" spans="2:42" x14ac:dyDescent="0.3">
      <c r="B395" s="6"/>
      <c r="C395" s="6"/>
      <c r="D395" s="6">
        <f t="shared" si="28"/>
        <v>10</v>
      </c>
      <c r="E395" s="636" t="str">
        <f t="shared" si="30"/>
        <v>Non-Spin - PJM Market</v>
      </c>
      <c r="F395" s="303"/>
      <c r="G395" s="304"/>
      <c r="H395" s="304"/>
      <c r="I395" s="304">
        <v>0</v>
      </c>
      <c r="J395" s="304">
        <v>0</v>
      </c>
      <c r="K395" s="304">
        <v>0</v>
      </c>
      <c r="L395" s="304">
        <v>0</v>
      </c>
      <c r="M395" s="304">
        <v>0</v>
      </c>
      <c r="N395" s="304">
        <v>0</v>
      </c>
      <c r="O395" s="304">
        <v>0</v>
      </c>
      <c r="P395" s="304">
        <v>0</v>
      </c>
      <c r="Q395" s="304">
        <v>0</v>
      </c>
      <c r="R395" s="304">
        <v>0</v>
      </c>
      <c r="S395" s="304">
        <v>0</v>
      </c>
      <c r="T395" s="304">
        <v>0</v>
      </c>
      <c r="U395" s="304">
        <v>0</v>
      </c>
      <c r="V395" s="304">
        <v>0</v>
      </c>
      <c r="W395" s="304">
        <v>0</v>
      </c>
      <c r="X395" s="304">
        <v>0</v>
      </c>
      <c r="Y395" s="304">
        <v>0</v>
      </c>
      <c r="Z395" s="304">
        <v>0</v>
      </c>
      <c r="AA395" s="304">
        <v>0</v>
      </c>
      <c r="AB395" s="304">
        <v>0</v>
      </c>
      <c r="AC395" s="304"/>
      <c r="AD395" s="304"/>
      <c r="AE395" s="304"/>
      <c r="AF395" s="304"/>
      <c r="AG395" s="304"/>
      <c r="AH395" s="304"/>
      <c r="AI395" s="304"/>
      <c r="AJ395" s="304"/>
      <c r="AK395" s="304"/>
      <c r="AL395" s="304"/>
      <c r="AM395" s="304"/>
      <c r="AN395" s="304"/>
      <c r="AO395" s="304"/>
      <c r="AP395" s="163"/>
    </row>
    <row r="396" spans="2:42" x14ac:dyDescent="0.3">
      <c r="B396" s="6"/>
      <c r="C396" s="6"/>
      <c r="D396" s="6">
        <f t="shared" si="28"/>
        <v>10</v>
      </c>
      <c r="E396" s="636" t="str">
        <f t="shared" si="30"/>
        <v>Regulation - PJM Market</v>
      </c>
      <c r="F396" s="303"/>
      <c r="G396" s="304"/>
      <c r="H396" s="304"/>
      <c r="I396" s="304">
        <v>154073.47810565485</v>
      </c>
      <c r="J396" s="304">
        <v>74951.865568067806</v>
      </c>
      <c r="K396" s="304">
        <v>35665.557957053032</v>
      </c>
      <c r="L396" s="304">
        <v>22048.609099782279</v>
      </c>
      <c r="M396" s="304">
        <v>14255.203335323893</v>
      </c>
      <c r="N396" s="304">
        <v>12753.834137848911</v>
      </c>
      <c r="O396" s="304">
        <v>11252.464940373935</v>
      </c>
      <c r="P396" s="304">
        <v>9751.0957428989532</v>
      </c>
      <c r="Q396" s="304">
        <v>8249.7265454239714</v>
      </c>
      <c r="R396" s="304">
        <v>6748.3573479489896</v>
      </c>
      <c r="S396" s="304">
        <v>7221.7810734523155</v>
      </c>
      <c r="T396" s="304">
        <v>7695.2047989556422</v>
      </c>
      <c r="U396" s="304">
        <v>8168.6285244589662</v>
      </c>
      <c r="V396" s="304">
        <v>8642.0522499622912</v>
      </c>
      <c r="W396" s="304">
        <v>9115.4759754656152</v>
      </c>
      <c r="X396" s="304">
        <v>9054.251838038439</v>
      </c>
      <c r="Y396" s="304">
        <v>8993.0277006112556</v>
      </c>
      <c r="Z396" s="304">
        <v>8931.8035631840794</v>
      </c>
      <c r="AA396" s="304">
        <v>8870.5794257568959</v>
      </c>
      <c r="AB396" s="304">
        <v>8809.3552883297198</v>
      </c>
      <c r="AC396" s="304"/>
      <c r="AD396" s="304"/>
      <c r="AE396" s="304"/>
      <c r="AF396" s="304"/>
      <c r="AG396" s="304"/>
      <c r="AH396" s="304"/>
      <c r="AI396" s="304"/>
      <c r="AJ396" s="304"/>
      <c r="AK396" s="304"/>
      <c r="AL396" s="304"/>
      <c r="AM396" s="304"/>
      <c r="AN396" s="304"/>
      <c r="AO396" s="304"/>
      <c r="AP396" s="163"/>
    </row>
    <row r="397" spans="2:42" x14ac:dyDescent="0.3">
      <c r="B397" s="6"/>
      <c r="C397" s="6"/>
      <c r="D397" s="6">
        <f t="shared" si="28"/>
        <v>10</v>
      </c>
      <c r="E397" s="636" t="str">
        <f t="shared" si="30"/>
        <v>Incurred Energy Charges</v>
      </c>
      <c r="F397" s="303"/>
      <c r="G397" s="304"/>
      <c r="H397" s="304"/>
      <c r="I397" s="304">
        <v>0</v>
      </c>
      <c r="J397" s="304">
        <v>0</v>
      </c>
      <c r="K397" s="304">
        <v>0</v>
      </c>
      <c r="L397" s="304">
        <v>0</v>
      </c>
      <c r="M397" s="304">
        <v>0</v>
      </c>
      <c r="N397" s="304">
        <v>0</v>
      </c>
      <c r="O397" s="304">
        <v>0</v>
      </c>
      <c r="P397" s="304">
        <v>0</v>
      </c>
      <c r="Q397" s="304">
        <v>0</v>
      </c>
      <c r="R397" s="304">
        <v>0</v>
      </c>
      <c r="S397" s="304">
        <v>0</v>
      </c>
      <c r="T397" s="304">
        <v>0</v>
      </c>
      <c r="U397" s="304">
        <v>0</v>
      </c>
      <c r="V397" s="304">
        <v>0</v>
      </c>
      <c r="W397" s="304">
        <v>0</v>
      </c>
      <c r="X397" s="304">
        <v>0</v>
      </c>
      <c r="Y397" s="304">
        <v>0</v>
      </c>
      <c r="Z397" s="304">
        <v>0</v>
      </c>
      <c r="AA397" s="304">
        <v>0</v>
      </c>
      <c r="AB397" s="304">
        <v>0</v>
      </c>
      <c r="AC397" s="304"/>
      <c r="AD397" s="304"/>
      <c r="AE397" s="304"/>
      <c r="AF397" s="304"/>
      <c r="AG397" s="304"/>
      <c r="AH397" s="304"/>
      <c r="AI397" s="304"/>
      <c r="AJ397" s="304"/>
      <c r="AK397" s="304"/>
      <c r="AL397" s="304"/>
      <c r="AM397" s="304"/>
      <c r="AN397" s="304"/>
      <c r="AO397" s="304"/>
      <c r="AP397" s="163"/>
    </row>
    <row r="398" spans="2:42" x14ac:dyDescent="0.3">
      <c r="B398" s="6"/>
      <c r="C398" s="6"/>
      <c r="D398" s="6">
        <f t="shared" si="28"/>
        <v>10</v>
      </c>
      <c r="E398" s="636" t="str">
        <f t="shared" si="30"/>
        <v>As Used Demand Charges</v>
      </c>
      <c r="F398" s="303"/>
      <c r="G398" s="304"/>
      <c r="H398" s="304"/>
      <c r="I398" s="304">
        <v>-28172.892098486751</v>
      </c>
      <c r="J398" s="304">
        <v>-27659.187516742142</v>
      </c>
      <c r="K398" s="304">
        <v>-26759.873848402302</v>
      </c>
      <c r="L398" s="304">
        <v>-27765.002447115781</v>
      </c>
      <c r="M398" s="304">
        <v>-29632.492886146396</v>
      </c>
      <c r="N398" s="304">
        <v>-32422.258414331529</v>
      </c>
      <c r="O398" s="304">
        <v>-35212.023942516666</v>
      </c>
      <c r="P398" s="304">
        <v>-38001.789470701799</v>
      </c>
      <c r="Q398" s="304">
        <v>-40791.554998886932</v>
      </c>
      <c r="R398" s="304">
        <v>-43581.320527072065</v>
      </c>
      <c r="S398" s="304">
        <v>-49862.395334119166</v>
      </c>
      <c r="T398" s="304">
        <v>-56143.470141166268</v>
      </c>
      <c r="U398" s="304">
        <v>-62424.54494821337</v>
      </c>
      <c r="V398" s="304">
        <v>-68705.619755260472</v>
      </c>
      <c r="W398" s="304">
        <v>-74986.694562307574</v>
      </c>
      <c r="X398" s="304">
        <v>-74326.783341556831</v>
      </c>
      <c r="Y398" s="304">
        <v>-73666.872120806074</v>
      </c>
      <c r="Z398" s="304">
        <v>-73006.960900055332</v>
      </c>
      <c r="AA398" s="304">
        <v>-72347.049679304575</v>
      </c>
      <c r="AB398" s="304">
        <v>-71687.138458553833</v>
      </c>
      <c r="AC398" s="304"/>
      <c r="AD398" s="304"/>
      <c r="AE398" s="304"/>
      <c r="AF398" s="304"/>
      <c r="AG398" s="304"/>
      <c r="AH398" s="304"/>
      <c r="AI398" s="304"/>
      <c r="AJ398" s="304"/>
      <c r="AK398" s="304"/>
      <c r="AL398" s="304"/>
      <c r="AM398" s="304"/>
      <c r="AN398" s="304"/>
      <c r="AO398" s="304"/>
      <c r="AP398" s="163"/>
    </row>
    <row r="399" spans="2:42" x14ac:dyDescent="0.3">
      <c r="B399" s="6"/>
      <c r="C399" s="6"/>
      <c r="D399" s="6">
        <f t="shared" si="28"/>
        <v>10</v>
      </c>
      <c r="E399" s="636" t="str">
        <f t="shared" si="30"/>
        <v>Contract Demand Charges  Fixed</v>
      </c>
      <c r="F399" s="303"/>
      <c r="G399" s="304"/>
      <c r="H399" s="304"/>
      <c r="I399" s="304">
        <v>0</v>
      </c>
      <c r="J399" s="304">
        <v>0</v>
      </c>
      <c r="K399" s="304">
        <v>0</v>
      </c>
      <c r="L399" s="304">
        <v>0</v>
      </c>
      <c r="M399" s="304">
        <v>0</v>
      </c>
      <c r="N399" s="304">
        <v>0</v>
      </c>
      <c r="O399" s="304">
        <v>0</v>
      </c>
      <c r="P399" s="304">
        <v>0</v>
      </c>
      <c r="Q399" s="304">
        <v>0</v>
      </c>
      <c r="R399" s="304">
        <v>0</v>
      </c>
      <c r="S399" s="304">
        <v>0</v>
      </c>
      <c r="T399" s="304">
        <v>0</v>
      </c>
      <c r="U399" s="304">
        <v>0</v>
      </c>
      <c r="V399" s="304">
        <v>0</v>
      </c>
      <c r="W399" s="304">
        <v>0</v>
      </c>
      <c r="X399" s="304">
        <v>0</v>
      </c>
      <c r="Y399" s="304">
        <v>0</v>
      </c>
      <c r="Z399" s="304">
        <v>0</v>
      </c>
      <c r="AA399" s="304">
        <v>0</v>
      </c>
      <c r="AB399" s="304">
        <v>0</v>
      </c>
      <c r="AC399" s="304"/>
      <c r="AD399" s="304"/>
      <c r="AE399" s="304"/>
      <c r="AF399" s="304"/>
      <c r="AG399" s="304"/>
      <c r="AH399" s="304"/>
      <c r="AI399" s="304"/>
      <c r="AJ399" s="304"/>
      <c r="AK399" s="304"/>
      <c r="AL399" s="304"/>
      <c r="AM399" s="304"/>
      <c r="AN399" s="304"/>
      <c r="AO399" s="304"/>
      <c r="AP399" s="163"/>
    </row>
    <row r="400" spans="2:42" x14ac:dyDescent="0.3">
      <c r="B400" s="6"/>
      <c r="C400" s="6"/>
      <c r="D400" s="6">
        <f t="shared" si="28"/>
        <v>10</v>
      </c>
      <c r="E400" s="636" t="str">
        <f t="shared" si="30"/>
        <v>Customer Charges/ Fixed Charges</v>
      </c>
      <c r="F400" s="303"/>
      <c r="G400" s="304"/>
      <c r="H400" s="304"/>
      <c r="I400" s="304">
        <v>-404.17228800000004</v>
      </c>
      <c r="J400" s="304">
        <v>-420.33917952000007</v>
      </c>
      <c r="K400" s="304">
        <v>-437.15274670080009</v>
      </c>
      <c r="L400" s="304">
        <v>-454.63885656883213</v>
      </c>
      <c r="M400" s="304">
        <v>-472.82441083158545</v>
      </c>
      <c r="N400" s="304">
        <v>-491.73738726484891</v>
      </c>
      <c r="O400" s="304">
        <v>-511.40688275544289</v>
      </c>
      <c r="P400" s="304">
        <v>-531.86315806566063</v>
      </c>
      <c r="Q400" s="304">
        <v>-553.13768438828708</v>
      </c>
      <c r="R400" s="304">
        <v>-575.26319176381855</v>
      </c>
      <c r="S400" s="304">
        <v>-598.27371943437129</v>
      </c>
      <c r="T400" s="304">
        <v>-622.20466821174614</v>
      </c>
      <c r="U400" s="304">
        <v>-647.09285494021606</v>
      </c>
      <c r="V400" s="304">
        <v>-672.97656913782475</v>
      </c>
      <c r="W400" s="304">
        <v>-699.89563190333774</v>
      </c>
      <c r="X400" s="304">
        <v>-727.89145717947133</v>
      </c>
      <c r="Y400" s="304">
        <v>-757.00711546665025</v>
      </c>
      <c r="Z400" s="304">
        <v>-787.28740008531634</v>
      </c>
      <c r="AA400" s="304">
        <v>-818.77889608872897</v>
      </c>
      <c r="AB400" s="304">
        <v>-851.53005193227818</v>
      </c>
      <c r="AC400" s="304"/>
      <c r="AD400" s="304"/>
      <c r="AE400" s="304"/>
      <c r="AF400" s="304"/>
      <c r="AG400" s="304"/>
      <c r="AH400" s="304"/>
      <c r="AI400" s="304"/>
      <c r="AJ400" s="304"/>
      <c r="AK400" s="304"/>
      <c r="AL400" s="304"/>
      <c r="AM400" s="304"/>
      <c r="AN400" s="304"/>
      <c r="AO400" s="304"/>
      <c r="AP400" s="163"/>
    </row>
    <row r="401" spans="2:42" x14ac:dyDescent="0.3">
      <c r="B401" s="6"/>
      <c r="C401" s="6"/>
      <c r="D401" s="6">
        <f t="shared" si="28"/>
        <v>10</v>
      </c>
      <c r="E401" s="637" t="str">
        <f t="shared" si="30"/>
        <v>Energy Savings</v>
      </c>
      <c r="F401" s="303"/>
      <c r="G401" s="304"/>
      <c r="H401" s="304"/>
      <c r="I401" s="304">
        <v>0</v>
      </c>
      <c r="J401" s="304">
        <v>0</v>
      </c>
      <c r="K401" s="304">
        <v>0</v>
      </c>
      <c r="L401" s="617">
        <v>0</v>
      </c>
      <c r="M401" s="617">
        <v>0</v>
      </c>
      <c r="N401" s="617">
        <v>0</v>
      </c>
      <c r="O401" s="617">
        <v>0</v>
      </c>
      <c r="P401" s="617">
        <v>0</v>
      </c>
      <c r="Q401" s="617">
        <v>0</v>
      </c>
      <c r="R401" s="617">
        <v>0</v>
      </c>
      <c r="S401" s="617">
        <v>0</v>
      </c>
      <c r="T401" s="617">
        <v>0</v>
      </c>
      <c r="U401" s="617">
        <v>0</v>
      </c>
      <c r="V401" s="617">
        <v>0</v>
      </c>
      <c r="W401" s="617">
        <v>0</v>
      </c>
      <c r="X401" s="617">
        <v>0</v>
      </c>
      <c r="Y401" s="617">
        <v>0</v>
      </c>
      <c r="Z401" s="617">
        <v>0</v>
      </c>
      <c r="AA401" s="617">
        <v>0</v>
      </c>
      <c r="AB401" s="304">
        <v>0</v>
      </c>
      <c r="AC401" s="304"/>
      <c r="AD401" s="304"/>
      <c r="AE401" s="304"/>
      <c r="AF401" s="304"/>
      <c r="AG401" s="304"/>
      <c r="AH401" s="304"/>
      <c r="AI401" s="304"/>
      <c r="AJ401" s="304"/>
      <c r="AK401" s="304"/>
      <c r="AL401" s="304"/>
      <c r="AM401" s="304"/>
      <c r="AN401" s="304"/>
      <c r="AO401" s="304"/>
      <c r="AP401" s="163"/>
    </row>
    <row r="402" spans="2:42" x14ac:dyDescent="0.3">
      <c r="B402" s="6"/>
      <c r="C402" s="6"/>
      <c r="D402" s="6">
        <f t="shared" si="28"/>
        <v>10</v>
      </c>
      <c r="E402" s="637" t="str">
        <f t="shared" si="30"/>
        <v xml:space="preserve">Demand Savings </v>
      </c>
      <c r="F402" s="303"/>
      <c r="G402" s="304"/>
      <c r="H402" s="304"/>
      <c r="I402" s="304">
        <v>0</v>
      </c>
      <c r="J402" s="304">
        <v>0</v>
      </c>
      <c r="K402" s="304">
        <v>0</v>
      </c>
      <c r="L402" s="617">
        <v>0</v>
      </c>
      <c r="M402" s="617">
        <v>0</v>
      </c>
      <c r="N402" s="617">
        <v>0</v>
      </c>
      <c r="O402" s="617">
        <v>0</v>
      </c>
      <c r="P402" s="617">
        <v>0</v>
      </c>
      <c r="Q402" s="617">
        <v>0</v>
      </c>
      <c r="R402" s="617">
        <v>0</v>
      </c>
      <c r="S402" s="617">
        <v>0</v>
      </c>
      <c r="T402" s="617">
        <v>0</v>
      </c>
      <c r="U402" s="617">
        <v>0</v>
      </c>
      <c r="V402" s="617">
        <v>0</v>
      </c>
      <c r="W402" s="617">
        <v>0</v>
      </c>
      <c r="X402" s="617">
        <v>0</v>
      </c>
      <c r="Y402" s="617">
        <v>0</v>
      </c>
      <c r="Z402" s="617">
        <v>0</v>
      </c>
      <c r="AA402" s="617">
        <v>0</v>
      </c>
      <c r="AB402" s="304">
        <v>0</v>
      </c>
      <c r="AC402" s="304"/>
      <c r="AD402" s="304"/>
      <c r="AE402" s="304"/>
      <c r="AF402" s="304"/>
      <c r="AG402" s="304"/>
      <c r="AH402" s="304"/>
      <c r="AI402" s="304"/>
      <c r="AJ402" s="304"/>
      <c r="AK402" s="304"/>
      <c r="AL402" s="304"/>
      <c r="AM402" s="304"/>
      <c r="AN402" s="304"/>
      <c r="AO402" s="304"/>
      <c r="AP402" s="163"/>
    </row>
    <row r="403" spans="2:42" x14ac:dyDescent="0.3">
      <c r="B403" s="6"/>
      <c r="C403" s="6"/>
      <c r="D403" s="6">
        <f t="shared" si="28"/>
        <v>10</v>
      </c>
      <c r="E403" s="638" t="str">
        <f t="shared" si="30"/>
        <v>Energy Generation - Export</v>
      </c>
      <c r="F403" s="303"/>
      <c r="G403" s="304"/>
      <c r="H403" s="304"/>
      <c r="I403" s="304">
        <v>0</v>
      </c>
      <c r="J403" s="304">
        <v>0</v>
      </c>
      <c r="K403" s="304">
        <v>0</v>
      </c>
      <c r="L403" s="617">
        <v>0</v>
      </c>
      <c r="M403" s="617">
        <v>0</v>
      </c>
      <c r="N403" s="617">
        <v>0</v>
      </c>
      <c r="O403" s="617">
        <v>0</v>
      </c>
      <c r="P403" s="617">
        <v>0</v>
      </c>
      <c r="Q403" s="617">
        <v>0</v>
      </c>
      <c r="R403" s="617">
        <v>0</v>
      </c>
      <c r="S403" s="617">
        <v>0</v>
      </c>
      <c r="T403" s="617">
        <v>0</v>
      </c>
      <c r="U403" s="617">
        <v>0</v>
      </c>
      <c r="V403" s="617">
        <v>0</v>
      </c>
      <c r="W403" s="617">
        <v>0</v>
      </c>
      <c r="X403" s="617">
        <v>0</v>
      </c>
      <c r="Y403" s="617">
        <v>0</v>
      </c>
      <c r="Z403" s="617">
        <v>0</v>
      </c>
      <c r="AA403" s="617">
        <v>0</v>
      </c>
      <c r="AB403" s="304">
        <v>0</v>
      </c>
      <c r="AC403" s="304"/>
      <c r="AD403" s="304"/>
      <c r="AE403" s="304"/>
      <c r="AF403" s="304"/>
      <c r="AG403" s="304"/>
      <c r="AH403" s="304"/>
      <c r="AI403" s="304"/>
      <c r="AJ403" s="304"/>
      <c r="AK403" s="304"/>
      <c r="AL403" s="304"/>
      <c r="AM403" s="304"/>
      <c r="AN403" s="304"/>
      <c r="AO403" s="304"/>
      <c r="AP403" s="163"/>
    </row>
    <row r="404" spans="2:42" x14ac:dyDescent="0.3">
      <c r="B404" s="6"/>
      <c r="C404" s="6"/>
      <c r="D404" s="6">
        <f t="shared" si="28"/>
        <v>10</v>
      </c>
      <c r="E404" s="638" t="str">
        <f t="shared" si="30"/>
        <v>Generation Capacity</v>
      </c>
      <c r="F404" s="303"/>
      <c r="G404" s="304"/>
      <c r="H404" s="304"/>
      <c r="I404" s="304">
        <v>0</v>
      </c>
      <c r="J404" s="304">
        <v>0</v>
      </c>
      <c r="K404" s="304">
        <v>0</v>
      </c>
      <c r="L404" s="617">
        <v>0</v>
      </c>
      <c r="M404" s="617">
        <v>0</v>
      </c>
      <c r="N404" s="617">
        <v>0</v>
      </c>
      <c r="O404" s="617">
        <v>0</v>
      </c>
      <c r="P404" s="617">
        <v>0</v>
      </c>
      <c r="Q404" s="617">
        <v>0</v>
      </c>
      <c r="R404" s="617">
        <v>0</v>
      </c>
      <c r="S404" s="617">
        <v>0</v>
      </c>
      <c r="T404" s="617">
        <v>0</v>
      </c>
      <c r="U404" s="617">
        <v>0</v>
      </c>
      <c r="V404" s="617">
        <v>0</v>
      </c>
      <c r="W404" s="617">
        <v>0</v>
      </c>
      <c r="X404" s="617">
        <v>0</v>
      </c>
      <c r="Y404" s="617">
        <v>0</v>
      </c>
      <c r="Z404" s="617">
        <v>0</v>
      </c>
      <c r="AA404" s="617">
        <v>0</v>
      </c>
      <c r="AB404" s="304">
        <v>0</v>
      </c>
      <c r="AC404" s="304"/>
      <c r="AD404" s="304"/>
      <c r="AE404" s="304"/>
      <c r="AF404" s="304"/>
      <c r="AG404" s="304"/>
      <c r="AH404" s="304"/>
      <c r="AI404" s="304"/>
      <c r="AJ404" s="304"/>
      <c r="AK404" s="304"/>
      <c r="AL404" s="304"/>
      <c r="AM404" s="304"/>
      <c r="AN404" s="304"/>
      <c r="AO404" s="304"/>
      <c r="AP404" s="163"/>
    </row>
    <row r="405" spans="2:42" x14ac:dyDescent="0.3">
      <c r="B405" s="6"/>
      <c r="C405" s="6"/>
      <c r="D405" s="6">
        <f t="shared" si="28"/>
        <v>10</v>
      </c>
      <c r="E405" s="638" t="str">
        <f t="shared" si="30"/>
        <v>Transmission Capacity</v>
      </c>
      <c r="F405" s="303"/>
      <c r="G405" s="304"/>
      <c r="H405" s="304"/>
      <c r="I405" s="304">
        <v>119784.05997664279</v>
      </c>
      <c r="J405" s="304">
        <v>118559.56329916017</v>
      </c>
      <c r="K405" s="304">
        <v>97383.14757339003</v>
      </c>
      <c r="L405" s="617">
        <v>97391.189663969373</v>
      </c>
      <c r="M405" s="617">
        <v>96290.344455855025</v>
      </c>
      <c r="N405" s="617">
        <v>96500.157980154574</v>
      </c>
      <c r="O405" s="617">
        <v>96709.971504454123</v>
      </c>
      <c r="P405" s="617">
        <v>96919.785028753657</v>
      </c>
      <c r="Q405" s="617">
        <v>97129.598553053205</v>
      </c>
      <c r="R405" s="617">
        <v>97339.412077352754</v>
      </c>
      <c r="S405" s="617">
        <v>98771.978099051063</v>
      </c>
      <c r="T405" s="617">
        <v>100204.54412074937</v>
      </c>
      <c r="U405" s="617">
        <v>101637.11014244769</v>
      </c>
      <c r="V405" s="617">
        <v>103069.676164146</v>
      </c>
      <c r="W405" s="617">
        <v>104502.24218584431</v>
      </c>
      <c r="X405" s="617">
        <v>106147.57955468462</v>
      </c>
      <c r="Y405" s="617">
        <v>107792.91692352493</v>
      </c>
      <c r="Z405" s="617">
        <v>109438.25429236525</v>
      </c>
      <c r="AA405" s="617">
        <v>111083.59166120556</v>
      </c>
      <c r="AB405" s="304">
        <v>112728.92903004587</v>
      </c>
      <c r="AC405" s="304"/>
      <c r="AD405" s="304"/>
      <c r="AE405" s="304"/>
      <c r="AF405" s="304"/>
      <c r="AG405" s="304"/>
      <c r="AH405" s="304"/>
      <c r="AI405" s="304"/>
      <c r="AJ405" s="304"/>
      <c r="AK405" s="304"/>
      <c r="AL405" s="304"/>
      <c r="AM405" s="304"/>
      <c r="AN405" s="304"/>
      <c r="AO405" s="304"/>
      <c r="AP405" s="163"/>
    </row>
    <row r="406" spans="2:42" x14ac:dyDescent="0.3">
      <c r="B406" s="6"/>
      <c r="C406" s="6"/>
      <c r="D406" s="6">
        <f t="shared" si="28"/>
        <v>10</v>
      </c>
      <c r="E406" s="638" t="str">
        <f t="shared" si="30"/>
        <v>Distribution Capacity</v>
      </c>
      <c r="F406" s="303"/>
      <c r="G406" s="304"/>
      <c r="H406" s="304"/>
      <c r="I406" s="304">
        <v>26854.406530246557</v>
      </c>
      <c r="J406" s="304">
        <v>28195.291339366937</v>
      </c>
      <c r="K406" s="304">
        <v>25487.724870682941</v>
      </c>
      <c r="L406" s="617">
        <v>25420.508055507471</v>
      </c>
      <c r="M406" s="617">
        <v>25193.839931129216</v>
      </c>
      <c r="N406" s="617">
        <v>25228.285976228868</v>
      </c>
      <c r="O406" s="617">
        <v>25262.73202132852</v>
      </c>
      <c r="P406" s="617">
        <v>25297.178066428176</v>
      </c>
      <c r="Q406" s="617">
        <v>25331.624111527828</v>
      </c>
      <c r="R406" s="617">
        <v>25366.07015662748</v>
      </c>
      <c r="S406" s="617">
        <v>25729.615516435089</v>
      </c>
      <c r="T406" s="617">
        <v>26093.160876242699</v>
      </c>
      <c r="U406" s="617">
        <v>26456.706236050304</v>
      </c>
      <c r="V406" s="617">
        <v>26820.251595857913</v>
      </c>
      <c r="W406" s="617">
        <v>27183.796955665523</v>
      </c>
      <c r="X406" s="617">
        <v>27481.60753367416</v>
      </c>
      <c r="Y406" s="617">
        <v>27779.4181116828</v>
      </c>
      <c r="Z406" s="617">
        <v>28077.228689691437</v>
      </c>
      <c r="AA406" s="617">
        <v>28375.039267700078</v>
      </c>
      <c r="AB406" s="304">
        <v>28672.849845708715</v>
      </c>
      <c r="AC406" s="304"/>
      <c r="AD406" s="304"/>
      <c r="AE406" s="304"/>
      <c r="AF406" s="304"/>
      <c r="AG406" s="304"/>
      <c r="AH406" s="304"/>
      <c r="AI406" s="304"/>
      <c r="AJ406" s="304"/>
      <c r="AK406" s="304"/>
      <c r="AL406" s="304"/>
      <c r="AM406" s="304"/>
      <c r="AN406" s="304"/>
      <c r="AO406" s="304"/>
      <c r="AP406" s="163"/>
    </row>
    <row r="407" spans="2:42" x14ac:dyDescent="0.3">
      <c r="B407" s="6"/>
      <c r="C407" s="6"/>
      <c r="D407" s="6">
        <f t="shared" si="28"/>
        <v>10</v>
      </c>
      <c r="E407" s="638" t="str">
        <f t="shared" si="30"/>
        <v>GHG Impacts</v>
      </c>
      <c r="F407" s="303"/>
      <c r="G407" s="304"/>
      <c r="H407" s="304"/>
      <c r="I407" s="304">
        <v>208495.32277877617</v>
      </c>
      <c r="J407" s="304">
        <v>172330.47879342752</v>
      </c>
      <c r="K407" s="304">
        <v>59487.906409830881</v>
      </c>
      <c r="L407" s="617">
        <v>73386.244020490543</v>
      </c>
      <c r="M407" s="617">
        <v>91951.934744242491</v>
      </c>
      <c r="N407" s="617">
        <v>110817.362746167</v>
      </c>
      <c r="O407" s="617">
        <v>129682.79074809152</v>
      </c>
      <c r="P407" s="617">
        <v>148548.21875001604</v>
      </c>
      <c r="Q407" s="617">
        <v>167413.64675194054</v>
      </c>
      <c r="R407" s="617">
        <v>186279.07475386505</v>
      </c>
      <c r="S407" s="617">
        <v>215013.05941762769</v>
      </c>
      <c r="T407" s="617">
        <v>243747.04408139037</v>
      </c>
      <c r="U407" s="617">
        <v>272481.02874515299</v>
      </c>
      <c r="V407" s="617">
        <v>301215.01340891566</v>
      </c>
      <c r="W407" s="617">
        <v>329948.99807267834</v>
      </c>
      <c r="X407" s="617">
        <v>357723.01135908725</v>
      </c>
      <c r="Y407" s="617">
        <v>385497.0246454961</v>
      </c>
      <c r="Z407" s="617">
        <v>413271.03793190501</v>
      </c>
      <c r="AA407" s="617">
        <v>441045.05121831386</v>
      </c>
      <c r="AB407" s="304">
        <v>468819.06450472277</v>
      </c>
      <c r="AC407" s="304"/>
      <c r="AD407" s="304"/>
      <c r="AE407" s="304"/>
      <c r="AF407" s="304"/>
      <c r="AG407" s="304"/>
      <c r="AH407" s="304"/>
      <c r="AI407" s="304"/>
      <c r="AJ407" s="304"/>
      <c r="AK407" s="304"/>
      <c r="AL407" s="304"/>
      <c r="AM407" s="304"/>
      <c r="AN407" s="304"/>
      <c r="AO407" s="304"/>
      <c r="AP407" s="163"/>
    </row>
    <row r="408" spans="2:42" x14ac:dyDescent="0.3">
      <c r="B408" s="6"/>
      <c r="C408" s="6"/>
      <c r="D408" s="6">
        <f t="shared" si="28"/>
        <v>10</v>
      </c>
      <c r="E408" s="638" t="str">
        <f t="shared" si="30"/>
        <v>Market Price Effects - Wholesale Energy</v>
      </c>
      <c r="F408" s="303"/>
      <c r="G408" s="304"/>
      <c r="H408" s="304"/>
      <c r="I408" s="304">
        <v>11849.897103368503</v>
      </c>
      <c r="J408" s="304">
        <v>26488.079553907039</v>
      </c>
      <c r="K408" s="304">
        <v>42196.001684412164</v>
      </c>
      <c r="L408" s="617">
        <v>41056.544361983571</v>
      </c>
      <c r="M408" s="617">
        <v>58364.624648531513</v>
      </c>
      <c r="N408" s="617">
        <v>53367.176260221677</v>
      </c>
      <c r="O408" s="617">
        <v>48369.727871911833</v>
      </c>
      <c r="P408" s="617">
        <v>43372.279483601997</v>
      </c>
      <c r="Q408" s="617">
        <v>38374.83109529216</v>
      </c>
      <c r="R408" s="617">
        <v>33377.382706982324</v>
      </c>
      <c r="S408" s="617">
        <v>40641.447044795976</v>
      </c>
      <c r="T408" s="617">
        <v>47905.511382609628</v>
      </c>
      <c r="U408" s="617">
        <v>55169.57572042328</v>
      </c>
      <c r="V408" s="617">
        <v>62433.640058236932</v>
      </c>
      <c r="W408" s="617">
        <v>69697.704396050583</v>
      </c>
      <c r="X408" s="617">
        <v>74259.216426082436</v>
      </c>
      <c r="Y408" s="617">
        <v>78820.728456114288</v>
      </c>
      <c r="Z408" s="617">
        <v>83382.240486146125</v>
      </c>
      <c r="AA408" s="617">
        <v>87943.752516177978</v>
      </c>
      <c r="AB408" s="304">
        <v>92505.26454620983</v>
      </c>
      <c r="AC408" s="304"/>
      <c r="AD408" s="304"/>
      <c r="AE408" s="304"/>
      <c r="AF408" s="304"/>
      <c r="AG408" s="304"/>
      <c r="AH408" s="304"/>
      <c r="AI408" s="304"/>
      <c r="AJ408" s="304"/>
      <c r="AK408" s="304"/>
      <c r="AL408" s="304"/>
      <c r="AM408" s="304"/>
      <c r="AN408" s="304"/>
      <c r="AO408" s="304"/>
      <c r="AP408" s="163"/>
    </row>
    <row r="409" spans="2:42" x14ac:dyDescent="0.3">
      <c r="B409" s="6"/>
      <c r="C409" s="6"/>
      <c r="D409" s="6">
        <f t="shared" si="28"/>
        <v>10</v>
      </c>
      <c r="E409" s="638" t="str">
        <f t="shared" si="30"/>
        <v>Market Price Effects - Wholesale Capacity</v>
      </c>
      <c r="F409" s="303"/>
      <c r="G409" s="304"/>
      <c r="H409" s="304"/>
      <c r="I409" s="304">
        <v>0</v>
      </c>
      <c r="J409" s="304">
        <v>0</v>
      </c>
      <c r="K409" s="304">
        <v>0</v>
      </c>
      <c r="L409" s="617">
        <v>0</v>
      </c>
      <c r="M409" s="617">
        <v>0</v>
      </c>
      <c r="N409" s="617">
        <v>0</v>
      </c>
      <c r="O409" s="617">
        <v>0</v>
      </c>
      <c r="P409" s="617">
        <v>0</v>
      </c>
      <c r="Q409" s="617">
        <v>0</v>
      </c>
      <c r="R409" s="617">
        <v>0</v>
      </c>
      <c r="S409" s="617">
        <v>0</v>
      </c>
      <c r="T409" s="617">
        <v>0</v>
      </c>
      <c r="U409" s="617">
        <v>0</v>
      </c>
      <c r="V409" s="617">
        <v>0</v>
      </c>
      <c r="W409" s="617">
        <v>0</v>
      </c>
      <c r="X409" s="617">
        <v>0</v>
      </c>
      <c r="Y409" s="617">
        <v>0</v>
      </c>
      <c r="Z409" s="617">
        <v>0</v>
      </c>
      <c r="AA409" s="617">
        <v>0</v>
      </c>
      <c r="AB409" s="304">
        <v>0</v>
      </c>
      <c r="AC409" s="304"/>
      <c r="AD409" s="304"/>
      <c r="AE409" s="304"/>
      <c r="AF409" s="304"/>
      <c r="AG409" s="304"/>
      <c r="AH409" s="304"/>
      <c r="AI409" s="304"/>
      <c r="AJ409" s="304"/>
      <c r="AK409" s="304"/>
      <c r="AL409" s="304"/>
      <c r="AM409" s="304"/>
      <c r="AN409" s="304"/>
      <c r="AO409" s="304"/>
      <c r="AP409" s="163"/>
    </row>
    <row r="410" spans="2:42" x14ac:dyDescent="0.3">
      <c r="B410" s="6"/>
      <c r="C410" s="6"/>
      <c r="D410" s="6">
        <f t="shared" si="28"/>
        <v>10</v>
      </c>
      <c r="E410" s="639" t="str">
        <f t="shared" si="30"/>
        <v>Avoided Cost of Participant Backup Generator</v>
      </c>
      <c r="F410" s="303"/>
      <c r="G410" s="303"/>
      <c r="H410" s="310"/>
      <c r="I410" s="303"/>
      <c r="J410" s="303"/>
      <c r="K410" s="303"/>
      <c r="L410" s="303"/>
      <c r="M410" s="303"/>
      <c r="N410" s="303"/>
      <c r="O410" s="303"/>
      <c r="P410" s="303"/>
      <c r="Q410" s="303"/>
      <c r="R410" s="303"/>
      <c r="S410" s="303"/>
      <c r="T410" s="303"/>
      <c r="U410" s="303"/>
      <c r="V410" s="303"/>
      <c r="W410" s="303"/>
      <c r="X410" s="303"/>
      <c r="Y410" s="303"/>
      <c r="Z410" s="303"/>
      <c r="AA410" s="303"/>
      <c r="AB410" s="303"/>
      <c r="AC410" s="303"/>
      <c r="AD410" s="303"/>
      <c r="AE410" s="303"/>
      <c r="AF410" s="303"/>
      <c r="AG410" s="303"/>
      <c r="AH410" s="303"/>
      <c r="AI410" s="303"/>
      <c r="AJ410" s="303"/>
      <c r="AK410" s="303"/>
      <c r="AL410" s="303"/>
      <c r="AM410" s="303"/>
      <c r="AN410" s="303"/>
      <c r="AO410" s="303"/>
      <c r="AP410" s="163"/>
    </row>
    <row r="411" spans="2:42" x14ac:dyDescent="0.3">
      <c r="B411" s="6"/>
      <c r="C411" s="6"/>
      <c r="D411" s="6">
        <f t="shared" si="28"/>
        <v>10</v>
      </c>
      <c r="E411" s="640" t="str">
        <f t="shared" si="30"/>
        <v>Full Eq DoD Cycle</v>
      </c>
      <c r="F411" s="303"/>
      <c r="G411" s="303"/>
      <c r="H411" s="310"/>
      <c r="I411" s="308">
        <v>365</v>
      </c>
      <c r="J411" s="308">
        <v>365</v>
      </c>
      <c r="K411" s="308">
        <v>365</v>
      </c>
      <c r="L411" s="618">
        <v>365</v>
      </c>
      <c r="M411" s="618">
        <v>365</v>
      </c>
      <c r="N411" s="618">
        <v>364.9982988906342</v>
      </c>
      <c r="O411" s="618">
        <v>364.99659778126835</v>
      </c>
      <c r="P411" s="618">
        <v>364.99489667190255</v>
      </c>
      <c r="Q411" s="618">
        <v>364.9931955625367</v>
      </c>
      <c r="R411" s="618">
        <v>364.9914944531709</v>
      </c>
      <c r="S411" s="618">
        <v>364.91701466679456</v>
      </c>
      <c r="T411" s="618">
        <v>364.84253488041821</v>
      </c>
      <c r="U411" s="618">
        <v>364.76805509404181</v>
      </c>
      <c r="V411" s="618">
        <v>364.69357530766547</v>
      </c>
      <c r="W411" s="618">
        <v>364.61909552128913</v>
      </c>
      <c r="X411" s="618">
        <v>364.69527641703132</v>
      </c>
      <c r="Y411" s="618">
        <v>364.77145731277346</v>
      </c>
      <c r="Z411" s="618">
        <v>364.84763820851566</v>
      </c>
      <c r="AA411" s="618">
        <v>364.9238191042578</v>
      </c>
      <c r="AB411" s="308">
        <v>365</v>
      </c>
      <c r="AC411" s="309"/>
      <c r="AD411" s="309"/>
      <c r="AE411" s="309"/>
      <c r="AF411" s="309"/>
      <c r="AG411" s="309"/>
      <c r="AH411" s="309"/>
      <c r="AI411" s="309"/>
      <c r="AJ411" s="309"/>
      <c r="AK411" s="309"/>
      <c r="AL411" s="309"/>
      <c r="AM411" s="309"/>
      <c r="AN411" s="309"/>
      <c r="AO411" s="309"/>
      <c r="AP411" s="163"/>
    </row>
    <row r="412" spans="2:42" x14ac:dyDescent="0.3">
      <c r="B412" s="6"/>
      <c r="C412" s="6"/>
      <c r="D412" s="6">
        <f t="shared" si="28"/>
        <v>10</v>
      </c>
      <c r="E412" s="640" t="str">
        <f t="shared" si="30"/>
        <v>Export MWh</v>
      </c>
      <c r="F412" s="303"/>
      <c r="G412" s="303"/>
      <c r="H412" s="310"/>
      <c r="I412" s="308"/>
      <c r="J412" s="308"/>
      <c r="K412" s="308"/>
      <c r="L412" s="618"/>
      <c r="M412" s="618"/>
      <c r="N412" s="618"/>
      <c r="O412" s="618"/>
      <c r="P412" s="618"/>
      <c r="Q412" s="618"/>
      <c r="R412" s="618"/>
      <c r="S412" s="618"/>
      <c r="T412" s="618"/>
      <c r="U412" s="618"/>
      <c r="V412" s="618"/>
      <c r="W412" s="618"/>
      <c r="X412" s="618"/>
      <c r="Y412" s="618"/>
      <c r="Z412" s="618"/>
      <c r="AA412" s="618"/>
      <c r="AB412" s="308"/>
      <c r="AC412" s="309"/>
      <c r="AD412" s="309"/>
      <c r="AE412" s="309"/>
      <c r="AF412" s="309"/>
      <c r="AG412" s="309"/>
      <c r="AH412" s="309"/>
      <c r="AI412" s="309"/>
      <c r="AJ412" s="309"/>
      <c r="AK412" s="309"/>
      <c r="AL412" s="309"/>
      <c r="AM412" s="309"/>
      <c r="AN412" s="309"/>
      <c r="AO412" s="309"/>
      <c r="AP412" s="163"/>
    </row>
    <row r="413" spans="2:42" x14ac:dyDescent="0.3">
      <c r="B413" s="6"/>
      <c r="C413" s="6"/>
      <c r="D413" s="6">
        <f t="shared" si="28"/>
        <v>10</v>
      </c>
      <c r="E413" s="640" t="str">
        <f t="shared" si="30"/>
        <v>Charge MWh</v>
      </c>
      <c r="F413" s="303"/>
      <c r="G413" s="303"/>
      <c r="H413" s="310"/>
      <c r="I413" s="311"/>
      <c r="J413" s="311"/>
      <c r="K413" s="311"/>
      <c r="L413" s="619"/>
      <c r="M413" s="619"/>
      <c r="N413" s="619"/>
      <c r="O413" s="619"/>
      <c r="P413" s="619"/>
      <c r="Q413" s="619"/>
      <c r="R413" s="619"/>
      <c r="S413" s="619"/>
      <c r="T413" s="619"/>
      <c r="U413" s="619"/>
      <c r="V413" s="619"/>
      <c r="W413" s="619"/>
      <c r="X413" s="619"/>
      <c r="Y413" s="619"/>
      <c r="Z413" s="619"/>
      <c r="AA413" s="619"/>
      <c r="AB413" s="311"/>
      <c r="AC413" s="313"/>
      <c r="AD413" s="313"/>
      <c r="AE413" s="313"/>
      <c r="AF413" s="313"/>
      <c r="AG413" s="313"/>
      <c r="AH413" s="313"/>
      <c r="AI413" s="313"/>
      <c r="AJ413" s="313"/>
      <c r="AK413" s="313"/>
      <c r="AL413" s="313"/>
      <c r="AM413" s="313"/>
      <c r="AN413" s="313"/>
      <c r="AO413" s="313"/>
      <c r="AP413" s="163"/>
    </row>
    <row r="414" spans="2:42" x14ac:dyDescent="0.3">
      <c r="B414" s="6"/>
      <c r="C414" s="6"/>
      <c r="D414" s="6">
        <f t="shared" si="28"/>
        <v>10</v>
      </c>
      <c r="E414" s="641" t="str">
        <f t="shared" si="30"/>
        <v>Total ESS Charge MWh</v>
      </c>
      <c r="F414" s="303"/>
      <c r="G414" s="303"/>
      <c r="H414" s="310"/>
      <c r="I414" s="308">
        <v>3435.2941188819987</v>
      </c>
      <c r="J414" s="308">
        <v>3435.2941166505025</v>
      </c>
      <c r="K414" s="308">
        <v>3435.2941177416319</v>
      </c>
      <c r="L414" s="618">
        <v>3435.294117647074</v>
      </c>
      <c r="M414" s="618">
        <v>3435.2941178093447</v>
      </c>
      <c r="N414" s="618">
        <v>3435.2780983967691</v>
      </c>
      <c r="O414" s="618">
        <v>3435.2620789841931</v>
      </c>
      <c r="P414" s="618">
        <v>3435.2460595716175</v>
      </c>
      <c r="Q414" s="618">
        <v>3435.2300401590414</v>
      </c>
      <c r="R414" s="618">
        <v>3435.2140207464658</v>
      </c>
      <c r="S414" s="618">
        <v>3434.5130176963567</v>
      </c>
      <c r="T414" s="618">
        <v>3433.8120146462479</v>
      </c>
      <c r="U414" s="618">
        <v>3433.1110115961387</v>
      </c>
      <c r="V414" s="618">
        <v>3432.41000854603</v>
      </c>
      <c r="W414" s="618">
        <v>3431.7090054959208</v>
      </c>
      <c r="X414" s="618">
        <v>3432.425996734924</v>
      </c>
      <c r="Y414" s="618">
        <v>3433.1429879739276</v>
      </c>
      <c r="Z414" s="618">
        <v>3433.8599792129307</v>
      </c>
      <c r="AA414" s="618">
        <v>3434.5769704519344</v>
      </c>
      <c r="AB414" s="308">
        <v>3435.2939616909375</v>
      </c>
      <c r="AC414" s="309"/>
      <c r="AD414" s="309"/>
      <c r="AE414" s="309"/>
      <c r="AF414" s="309"/>
      <c r="AG414" s="309"/>
      <c r="AH414" s="309"/>
      <c r="AI414" s="309"/>
      <c r="AJ414" s="309"/>
      <c r="AK414" s="309"/>
      <c r="AL414" s="309"/>
      <c r="AM414" s="309"/>
      <c r="AN414" s="309"/>
      <c r="AO414" s="309"/>
      <c r="AP414" s="163"/>
    </row>
    <row r="415" spans="2:42" x14ac:dyDescent="0.3">
      <c r="B415" s="6"/>
      <c r="C415" s="6"/>
      <c r="D415" s="6">
        <f t="shared" si="28"/>
        <v>10</v>
      </c>
      <c r="E415" s="642" t="str">
        <f t="shared" si="30"/>
        <v>Avg Generation Capacity</v>
      </c>
      <c r="F415" s="303"/>
      <c r="G415" s="303"/>
      <c r="H415" s="310"/>
      <c r="I415" s="308">
        <v>0</v>
      </c>
      <c r="J415" s="308">
        <v>0</v>
      </c>
      <c r="K415" s="308">
        <v>0</v>
      </c>
      <c r="L415" s="308">
        <v>0</v>
      </c>
      <c r="M415" s="308">
        <v>0</v>
      </c>
      <c r="N415" s="308">
        <v>2.0000000000000001E-4</v>
      </c>
      <c r="O415" s="308">
        <v>4.0000000000000002E-4</v>
      </c>
      <c r="P415" s="308">
        <v>5.9999999999999995E-4</v>
      </c>
      <c r="Q415" s="308">
        <v>8.0000000000000004E-4</v>
      </c>
      <c r="R415" s="308">
        <v>1E-3</v>
      </c>
      <c r="S415" s="308">
        <v>1.6476416695513512E-3</v>
      </c>
      <c r="T415" s="308">
        <v>2.2952833391027029E-3</v>
      </c>
      <c r="U415" s="308">
        <v>2.9429250086540539E-3</v>
      </c>
      <c r="V415" s="308">
        <v>2.9921388985045048E-3</v>
      </c>
      <c r="W415" s="308">
        <v>3.5318402897972973E-3</v>
      </c>
      <c r="X415" s="308">
        <v>2.8254722318378379E-3</v>
      </c>
      <c r="Y415" s="308">
        <v>2.1191041738783784E-3</v>
      </c>
      <c r="Z415" s="308">
        <v>1.4127361159189185E-3</v>
      </c>
      <c r="AA415" s="308">
        <v>7.0636805795945925E-4</v>
      </c>
      <c r="AB415" s="308">
        <v>0</v>
      </c>
      <c r="AC415" s="309"/>
      <c r="AD415" s="309"/>
      <c r="AE415" s="309"/>
      <c r="AF415" s="309"/>
      <c r="AG415" s="309"/>
      <c r="AH415" s="309"/>
      <c r="AI415" s="309"/>
      <c r="AJ415" s="309"/>
      <c r="AK415" s="309"/>
      <c r="AL415" s="309"/>
      <c r="AM415" s="309"/>
      <c r="AN415" s="309"/>
      <c r="AO415" s="309"/>
      <c r="AP415" s="163"/>
    </row>
    <row r="416" spans="2:42" x14ac:dyDescent="0.3">
      <c r="B416" s="6"/>
      <c r="C416" s="6"/>
      <c r="D416" s="6">
        <f t="shared" si="28"/>
        <v>10</v>
      </c>
      <c r="E416" s="642" t="str">
        <f t="shared" si="30"/>
        <v>Avg Transmission Capacity</v>
      </c>
      <c r="F416" s="303"/>
      <c r="G416" s="303"/>
      <c r="H416" s="310"/>
      <c r="I416" s="308">
        <v>0</v>
      </c>
      <c r="J416" s="308">
        <v>0</v>
      </c>
      <c r="K416" s="308">
        <v>0</v>
      </c>
      <c r="L416" s="308">
        <v>0</v>
      </c>
      <c r="M416" s="308">
        <v>0</v>
      </c>
      <c r="N416" s="308">
        <v>2.0000000000000001E-4</v>
      </c>
      <c r="O416" s="308">
        <v>4.0000000000000002E-4</v>
      </c>
      <c r="P416" s="308">
        <v>5.9999999999999995E-4</v>
      </c>
      <c r="Q416" s="308">
        <v>8.0000000000000004E-4</v>
      </c>
      <c r="R416" s="308">
        <v>1E-3</v>
      </c>
      <c r="S416" s="308">
        <v>1.6476416695513512E-3</v>
      </c>
      <c r="T416" s="308">
        <v>2.2952833391027029E-3</v>
      </c>
      <c r="U416" s="308">
        <v>2.9429250086540539E-3</v>
      </c>
      <c r="V416" s="308">
        <v>2.9921388985045048E-3</v>
      </c>
      <c r="W416" s="308">
        <v>3.5318402897972973E-3</v>
      </c>
      <c r="X416" s="308">
        <v>2.8254722318378379E-3</v>
      </c>
      <c r="Y416" s="308">
        <v>2.1191041738783784E-3</v>
      </c>
      <c r="Z416" s="308">
        <v>1.4127361159189185E-3</v>
      </c>
      <c r="AA416" s="308">
        <v>7.0636805795945925E-4</v>
      </c>
      <c r="AB416" s="308">
        <v>0</v>
      </c>
      <c r="AC416" s="309"/>
      <c r="AD416" s="309"/>
      <c r="AE416" s="309"/>
      <c r="AF416" s="309"/>
      <c r="AG416" s="309"/>
      <c r="AH416" s="309"/>
      <c r="AI416" s="309"/>
      <c r="AJ416" s="309"/>
      <c r="AK416" s="309"/>
      <c r="AL416" s="309"/>
      <c r="AM416" s="309"/>
      <c r="AN416" s="309"/>
      <c r="AO416" s="309"/>
      <c r="AP416" s="163"/>
    </row>
    <row r="417" spans="2:42" x14ac:dyDescent="0.3">
      <c r="B417" s="6"/>
      <c r="C417" s="6"/>
      <c r="D417" s="6">
        <f t="shared" si="28"/>
        <v>10</v>
      </c>
      <c r="E417" s="642" t="str">
        <f t="shared" si="30"/>
        <v>Avg Distribution Capacity</v>
      </c>
      <c r="F417" s="303"/>
      <c r="G417" s="303"/>
      <c r="H417" s="310"/>
      <c r="I417" s="308">
        <v>1.2500000000000001E-2</v>
      </c>
      <c r="J417" s="308">
        <v>0</v>
      </c>
      <c r="K417" s="308">
        <v>1.7647058823529404E-3</v>
      </c>
      <c r="L417" s="618">
        <v>2.0499999999999997E-2</v>
      </c>
      <c r="M417" s="618">
        <v>2.5000000000000001E-3</v>
      </c>
      <c r="N417" s="618">
        <v>6.1999999999999998E-3</v>
      </c>
      <c r="O417" s="618">
        <v>9.8999999999999991E-3</v>
      </c>
      <c r="P417" s="618">
        <v>1.3599999999999999E-2</v>
      </c>
      <c r="Q417" s="618">
        <v>1.7299999999999999E-2</v>
      </c>
      <c r="R417" s="618">
        <v>2.1000000000000001E-2</v>
      </c>
      <c r="S417" s="618">
        <v>2.1358470081966653E-2</v>
      </c>
      <c r="T417" s="618">
        <v>2.1716940163933308E-2</v>
      </c>
      <c r="U417" s="618">
        <v>2.2075410245899957E-2</v>
      </c>
      <c r="V417" s="618">
        <v>1.8694900273222178E-2</v>
      </c>
      <c r="W417" s="618">
        <v>1.8993625341527719E-2</v>
      </c>
      <c r="X417" s="618">
        <v>1.8824745024748481E-2</v>
      </c>
      <c r="Y417" s="618">
        <v>1.8655864707969247E-2</v>
      </c>
      <c r="Z417" s="618">
        <v>1.8486984391190012E-2</v>
      </c>
      <c r="AA417" s="618">
        <v>1.8318104074410774E-2</v>
      </c>
      <c r="AB417" s="308">
        <v>1.814922375763154E-2</v>
      </c>
      <c r="AC417" s="309"/>
      <c r="AD417" s="309"/>
      <c r="AE417" s="309"/>
      <c r="AF417" s="309"/>
      <c r="AG417" s="309"/>
      <c r="AH417" s="309"/>
      <c r="AI417" s="309"/>
      <c r="AJ417" s="309"/>
      <c r="AK417" s="309"/>
      <c r="AL417" s="309"/>
      <c r="AM417" s="309"/>
      <c r="AN417" s="309"/>
      <c r="AO417" s="309"/>
      <c r="AP417" s="163"/>
    </row>
    <row r="418" spans="2:42" x14ac:dyDescent="0.3">
      <c r="B418" s="6"/>
      <c r="C418" s="6"/>
      <c r="D418" s="6">
        <f t="shared" si="28"/>
        <v>10</v>
      </c>
      <c r="E418" s="642" t="str">
        <f t="shared" si="30"/>
        <v>GHG Impacts</v>
      </c>
      <c r="F418" s="303"/>
      <c r="G418" s="303"/>
      <c r="H418" s="310"/>
      <c r="I418" s="308">
        <v>3433.3941188819927</v>
      </c>
      <c r="J418" s="308">
        <v>3420.6416925299227</v>
      </c>
      <c r="K418" s="308">
        <v>3396.8941177416414</v>
      </c>
      <c r="L418" s="618">
        <v>3329.6648623775986</v>
      </c>
      <c r="M418" s="618">
        <v>3186.3384188605637</v>
      </c>
      <c r="N418" s="618">
        <v>2990.9487082944602</v>
      </c>
      <c r="O418" s="618">
        <v>2795.5589977283571</v>
      </c>
      <c r="P418" s="618">
        <v>2600.1692871622536</v>
      </c>
      <c r="Q418" s="618">
        <v>2404.77957659615</v>
      </c>
      <c r="R418" s="618">
        <v>2209.389866030047</v>
      </c>
      <c r="S418" s="618">
        <v>2038.9889760188189</v>
      </c>
      <c r="T418" s="618">
        <v>1868.5880860075908</v>
      </c>
      <c r="U418" s="618">
        <v>1698.1871959963626</v>
      </c>
      <c r="V418" s="618">
        <v>1527.7863059851345</v>
      </c>
      <c r="W418" s="618">
        <v>1357.3854159739064</v>
      </c>
      <c r="X418" s="618">
        <v>1242.8299731458535</v>
      </c>
      <c r="Y418" s="618">
        <v>1128.2745303178006</v>
      </c>
      <c r="Z418" s="618">
        <v>1013.7190874897476</v>
      </c>
      <c r="AA418" s="618">
        <v>899.16364466169466</v>
      </c>
      <c r="AB418" s="308">
        <v>784.60820183364171</v>
      </c>
      <c r="AC418" s="309"/>
      <c r="AD418" s="309"/>
      <c r="AE418" s="309"/>
      <c r="AF418" s="309"/>
      <c r="AG418" s="309"/>
      <c r="AH418" s="309"/>
      <c r="AI418" s="309"/>
      <c r="AJ418" s="309"/>
      <c r="AK418" s="309"/>
      <c r="AL418" s="309"/>
      <c r="AM418" s="309"/>
      <c r="AN418" s="309"/>
      <c r="AO418" s="309"/>
      <c r="AP418" s="163"/>
    </row>
    <row r="419" spans="2:42" x14ac:dyDescent="0.3">
      <c r="B419" s="6"/>
      <c r="C419" s="6"/>
      <c r="D419" s="6">
        <f t="shared" si="28"/>
        <v>10</v>
      </c>
      <c r="E419" s="642" t="str">
        <f t="shared" si="30"/>
        <v>Market Price Effects - Wholesale Energy</v>
      </c>
      <c r="F419" s="303"/>
      <c r="G419" s="303"/>
      <c r="H419" s="310"/>
      <c r="I419" s="308">
        <v>3435.2941188819932</v>
      </c>
      <c r="J419" s="308">
        <v>3435.2941166505025</v>
      </c>
      <c r="K419" s="308">
        <v>3435.2941177416415</v>
      </c>
      <c r="L419" s="618">
        <v>3435.2941176470749</v>
      </c>
      <c r="M419" s="618">
        <v>3435.2941178093165</v>
      </c>
      <c r="N419" s="618">
        <v>3435.2780983967518</v>
      </c>
      <c r="O419" s="618">
        <v>3435.2620789841867</v>
      </c>
      <c r="P419" s="618">
        <v>3435.246059571622</v>
      </c>
      <c r="Q419" s="618">
        <v>3435.2300401590569</v>
      </c>
      <c r="R419" s="618">
        <v>3435.2140207464922</v>
      </c>
      <c r="S419" s="618">
        <v>3434.5130176963794</v>
      </c>
      <c r="T419" s="618">
        <v>3433.8120146462666</v>
      </c>
      <c r="U419" s="618">
        <v>3433.1110115961537</v>
      </c>
      <c r="V419" s="618">
        <v>3432.4100085460409</v>
      </c>
      <c r="W419" s="618">
        <v>3431.7090054959281</v>
      </c>
      <c r="X419" s="618">
        <v>3432.4259967349321</v>
      </c>
      <c r="Y419" s="618">
        <v>3433.1429879739362</v>
      </c>
      <c r="Z419" s="618">
        <v>3433.8599792129398</v>
      </c>
      <c r="AA419" s="618">
        <v>3434.5769704519439</v>
      </c>
      <c r="AB419" s="308">
        <v>3435.293961690948</v>
      </c>
      <c r="AC419" s="309"/>
      <c r="AD419" s="309"/>
      <c r="AE419" s="309"/>
      <c r="AF419" s="309"/>
      <c r="AG419" s="309"/>
      <c r="AH419" s="309"/>
      <c r="AI419" s="309"/>
      <c r="AJ419" s="309"/>
      <c r="AK419" s="309"/>
      <c r="AL419" s="309"/>
      <c r="AM419" s="309"/>
      <c r="AN419" s="309"/>
      <c r="AO419" s="309"/>
      <c r="AP419" s="163"/>
    </row>
    <row r="420" spans="2:42" x14ac:dyDescent="0.3">
      <c r="B420" s="6"/>
      <c r="C420" s="6"/>
      <c r="D420" s="6">
        <f t="shared" si="28"/>
        <v>10</v>
      </c>
      <c r="E420" s="643" t="str">
        <f t="shared" si="30"/>
        <v>Market Price Effects - Wholesale Capacity</v>
      </c>
      <c r="F420" s="303"/>
      <c r="I420" s="308">
        <v>0</v>
      </c>
      <c r="J420" s="308">
        <v>0</v>
      </c>
      <c r="K420" s="308">
        <v>0</v>
      </c>
      <c r="L420" s="618">
        <v>0</v>
      </c>
      <c r="M420" s="618">
        <v>0</v>
      </c>
      <c r="N420" s="618">
        <v>0</v>
      </c>
      <c r="O420" s="618">
        <v>0</v>
      </c>
      <c r="P420" s="618">
        <v>0</v>
      </c>
      <c r="Q420" s="618">
        <v>0</v>
      </c>
      <c r="R420" s="618">
        <v>0</v>
      </c>
      <c r="S420" s="618">
        <v>0</v>
      </c>
      <c r="T420" s="618">
        <v>0</v>
      </c>
      <c r="U420" s="618">
        <v>0</v>
      </c>
      <c r="V420" s="618">
        <v>0</v>
      </c>
      <c r="W420" s="618">
        <v>0</v>
      </c>
      <c r="X420" s="618">
        <v>0</v>
      </c>
      <c r="Y420" s="618">
        <v>0</v>
      </c>
      <c r="Z420" s="618">
        <v>0</v>
      </c>
      <c r="AA420" s="618">
        <v>0</v>
      </c>
      <c r="AB420" s="308">
        <v>0</v>
      </c>
      <c r="AC420" s="309"/>
      <c r="AD420" s="309"/>
      <c r="AE420" s="309"/>
      <c r="AF420" s="309"/>
      <c r="AG420" s="309"/>
      <c r="AH420" s="309"/>
      <c r="AI420" s="309"/>
      <c r="AJ420" s="309"/>
      <c r="AK420" s="309"/>
      <c r="AL420" s="309"/>
      <c r="AM420" s="309"/>
      <c r="AN420" s="309"/>
      <c r="AO420" s="309"/>
      <c r="AP420" s="163"/>
    </row>
    <row r="421" spans="2:42" x14ac:dyDescent="0.3">
      <c r="B421" s="6"/>
      <c r="C421" s="6"/>
      <c r="D421" s="6">
        <f t="shared" si="28"/>
        <v>10</v>
      </c>
      <c r="E421" s="640" t="str">
        <f t="shared" si="30"/>
        <v>Disharge MWh</v>
      </c>
      <c r="I421" s="505"/>
      <c r="J421" s="505"/>
      <c r="K421" s="505"/>
      <c r="L421" s="505"/>
      <c r="M421" s="505"/>
      <c r="N421" s="505"/>
      <c r="O421" s="505"/>
      <c r="P421" s="505"/>
      <c r="Q421" s="505"/>
      <c r="R421" s="505"/>
      <c r="S421" s="505"/>
      <c r="T421" s="505"/>
      <c r="U421" s="505"/>
      <c r="V421" s="505"/>
      <c r="W421" s="505"/>
      <c r="X421" s="505"/>
      <c r="Y421" s="505"/>
      <c r="Z421" s="505"/>
      <c r="AA421" s="505"/>
      <c r="AB421" s="505"/>
      <c r="AC421" s="15"/>
      <c r="AD421" s="15"/>
      <c r="AE421" s="15"/>
      <c r="AF421" s="15"/>
      <c r="AG421" s="15"/>
      <c r="AH421" s="15"/>
      <c r="AI421" s="15"/>
      <c r="AJ421" s="15"/>
      <c r="AK421" s="15"/>
      <c r="AL421" s="15"/>
      <c r="AM421" s="15"/>
      <c r="AN421" s="15"/>
      <c r="AO421" s="15"/>
      <c r="AP421" s="163"/>
    </row>
    <row r="422" spans="2:42" x14ac:dyDescent="0.3">
      <c r="B422" s="6"/>
      <c r="C422" s="6"/>
      <c r="D422" s="6">
        <f t="shared" si="28"/>
        <v>10</v>
      </c>
      <c r="E422" s="641" t="str">
        <f t="shared" si="30"/>
        <v>Total ESS DCharge MWh</v>
      </c>
      <c r="I422" s="308">
        <v>2920.0000042037118</v>
      </c>
      <c r="J422" s="308">
        <v>2919.9999998955241</v>
      </c>
      <c r="K422" s="308">
        <v>2920.00000000001</v>
      </c>
      <c r="L422" s="618">
        <v>2920.0000001854705</v>
      </c>
      <c r="M422" s="618">
        <v>2920.0000050684957</v>
      </c>
      <c r="N422" s="618">
        <v>2919.9863951798689</v>
      </c>
      <c r="O422" s="618">
        <v>2919.972785291242</v>
      </c>
      <c r="P422" s="618">
        <v>2919.9591754026146</v>
      </c>
      <c r="Q422" s="618">
        <v>2919.9455655139877</v>
      </c>
      <c r="R422" s="618">
        <v>2919.9319556253608</v>
      </c>
      <c r="S422" s="618">
        <v>2919.3361176199182</v>
      </c>
      <c r="T422" s="618">
        <v>2918.7402796144752</v>
      </c>
      <c r="U422" s="618">
        <v>2918.1444416090326</v>
      </c>
      <c r="V422" s="618">
        <v>2917.5486036035895</v>
      </c>
      <c r="W422" s="618">
        <v>2916.9527655981469</v>
      </c>
      <c r="X422" s="618">
        <v>2917.5622127593756</v>
      </c>
      <c r="Y422" s="618">
        <v>2918.1716599206043</v>
      </c>
      <c r="Z422" s="618">
        <v>2918.7811070818334</v>
      </c>
      <c r="AA422" s="618">
        <v>2919.3905542430621</v>
      </c>
      <c r="AB422" s="308">
        <v>2920.0000014042907</v>
      </c>
      <c r="AC422" s="309"/>
      <c r="AD422" s="309"/>
      <c r="AE422" s="309"/>
      <c r="AF422" s="309"/>
      <c r="AG422" s="309"/>
      <c r="AH422" s="309"/>
      <c r="AI422" s="309"/>
      <c r="AJ422" s="309"/>
      <c r="AK422" s="309"/>
      <c r="AL422" s="309"/>
      <c r="AM422" s="309"/>
      <c r="AN422" s="309"/>
      <c r="AO422" s="309"/>
      <c r="AP422" s="163"/>
    </row>
    <row r="423" spans="2:42" x14ac:dyDescent="0.3">
      <c r="B423" s="6"/>
      <c r="C423" s="6"/>
      <c r="D423" s="6">
        <f t="shared" si="28"/>
        <v>10</v>
      </c>
      <c r="E423" s="642" t="str">
        <f t="shared" si="30"/>
        <v>Avg Generation Capacity</v>
      </c>
      <c r="F423" s="303"/>
      <c r="I423" s="308">
        <v>1.9528953031802971</v>
      </c>
      <c r="J423" s="308">
        <v>1.9329317637019892</v>
      </c>
      <c r="K423" s="308">
        <v>1.587682798045674</v>
      </c>
      <c r="L423" s="618">
        <v>1.5878139119929164</v>
      </c>
      <c r="M423" s="618">
        <v>1.5698663199938281</v>
      </c>
      <c r="N423" s="618">
        <v>1.5734870075730285</v>
      </c>
      <c r="O423" s="618">
        <v>1.5771076951522289</v>
      </c>
      <c r="P423" s="618">
        <v>1.5807283827314291</v>
      </c>
      <c r="Q423" s="618">
        <v>1.5843490703106295</v>
      </c>
      <c r="R423" s="618">
        <v>1.58796975788983</v>
      </c>
      <c r="S423" s="618">
        <v>1.5849237439193491</v>
      </c>
      <c r="T423" s="618">
        <v>1.5818777299488682</v>
      </c>
      <c r="U423" s="618">
        <v>1.5788317159783873</v>
      </c>
      <c r="V423" s="618">
        <v>1.3131547516732553</v>
      </c>
      <c r="W423" s="618">
        <v>1.3106164066978545</v>
      </c>
      <c r="X423" s="618">
        <v>1.2960415904490359</v>
      </c>
      <c r="Y423" s="618">
        <v>1.2814667742002173</v>
      </c>
      <c r="Z423" s="618">
        <v>1.2668919579513982</v>
      </c>
      <c r="AA423" s="618">
        <v>1.2523171417025796</v>
      </c>
      <c r="AB423" s="308">
        <v>1.2377423254537609</v>
      </c>
      <c r="AC423" s="309"/>
      <c r="AD423" s="309"/>
      <c r="AE423" s="309"/>
      <c r="AF423" s="309"/>
      <c r="AG423" s="309"/>
      <c r="AH423" s="309"/>
      <c r="AI423" s="309"/>
      <c r="AJ423" s="309"/>
      <c r="AK423" s="309"/>
      <c r="AL423" s="309"/>
      <c r="AM423" s="309"/>
      <c r="AN423" s="309"/>
      <c r="AO423" s="309"/>
      <c r="AP423" s="163"/>
    </row>
    <row r="424" spans="2:42" x14ac:dyDescent="0.3">
      <c r="B424" s="6"/>
      <c r="C424" s="6"/>
      <c r="D424" s="6">
        <f t="shared" si="28"/>
        <v>10</v>
      </c>
      <c r="E424" s="642" t="str">
        <f t="shared" si="30"/>
        <v>Avg Transmission Capacity</v>
      </c>
      <c r="F424" s="303"/>
      <c r="I424" s="308">
        <v>1.9528953031802971</v>
      </c>
      <c r="J424" s="308">
        <v>1.9329317637019892</v>
      </c>
      <c r="K424" s="308">
        <v>1.587682798045674</v>
      </c>
      <c r="L424" s="618">
        <v>1.5878139119929164</v>
      </c>
      <c r="M424" s="618">
        <v>1.5698663199938281</v>
      </c>
      <c r="N424" s="618">
        <v>1.5734870075730285</v>
      </c>
      <c r="O424" s="618">
        <v>1.5771076951522289</v>
      </c>
      <c r="P424" s="618">
        <v>1.5807283827314291</v>
      </c>
      <c r="Q424" s="618">
        <v>1.5843490703106295</v>
      </c>
      <c r="R424" s="618">
        <v>1.58796975788983</v>
      </c>
      <c r="S424" s="618">
        <v>1.5849237439193491</v>
      </c>
      <c r="T424" s="618">
        <v>1.5818777299488682</v>
      </c>
      <c r="U424" s="618">
        <v>1.5788317159783873</v>
      </c>
      <c r="V424" s="618">
        <v>1.3131547516732553</v>
      </c>
      <c r="W424" s="618">
        <v>1.3106164066978545</v>
      </c>
      <c r="X424" s="618">
        <v>1.2960415904490359</v>
      </c>
      <c r="Y424" s="618">
        <v>1.2814667742002173</v>
      </c>
      <c r="Z424" s="618">
        <v>1.2668919579513982</v>
      </c>
      <c r="AA424" s="618">
        <v>1.2523171417025796</v>
      </c>
      <c r="AB424" s="308">
        <v>1.2377423254537609</v>
      </c>
      <c r="AC424" s="309"/>
      <c r="AD424" s="309"/>
      <c r="AE424" s="309"/>
      <c r="AF424" s="309"/>
      <c r="AG424" s="309"/>
      <c r="AH424" s="309"/>
      <c r="AI424" s="309"/>
      <c r="AJ424" s="309"/>
      <c r="AK424" s="309"/>
      <c r="AL424" s="309"/>
      <c r="AM424" s="309"/>
      <c r="AN424" s="309"/>
      <c r="AO424" s="309"/>
      <c r="AP424" s="163"/>
    </row>
    <row r="425" spans="2:42" x14ac:dyDescent="0.3">
      <c r="B425" s="6"/>
      <c r="C425" s="6"/>
      <c r="D425" s="6">
        <f t="shared" si="28"/>
        <v>10</v>
      </c>
      <c r="E425" s="642" t="str">
        <f t="shared" si="30"/>
        <v>Avg Distribution Capacity</v>
      </c>
      <c r="F425" s="303"/>
      <c r="I425" s="308">
        <v>1.6386881758770335</v>
      </c>
      <c r="J425" s="308">
        <v>1.7073864335763325</v>
      </c>
      <c r="K425" s="308">
        <v>1.5451924769644727</v>
      </c>
      <c r="L425" s="618">
        <v>1.5598574078091372</v>
      </c>
      <c r="M425" s="618">
        <v>1.5281313541986443</v>
      </c>
      <c r="N425" s="618">
        <v>1.5339172595856687</v>
      </c>
      <c r="O425" s="618">
        <v>1.5397031649726929</v>
      </c>
      <c r="P425" s="618">
        <v>1.5454890703597173</v>
      </c>
      <c r="Q425" s="618">
        <v>1.5512749757467414</v>
      </c>
      <c r="R425" s="618">
        <v>1.5570608811337658</v>
      </c>
      <c r="S425" s="618">
        <v>1.5532993646941227</v>
      </c>
      <c r="T425" s="618">
        <v>1.5495378482544797</v>
      </c>
      <c r="U425" s="618">
        <v>1.545776331814837</v>
      </c>
      <c r="V425" s="618">
        <v>1.2850123461459948</v>
      </c>
      <c r="W425" s="618">
        <v>1.2818777491129589</v>
      </c>
      <c r="X425" s="618">
        <v>1.2630001644006061</v>
      </c>
      <c r="Y425" s="618">
        <v>1.2441225796882536</v>
      </c>
      <c r="Z425" s="618">
        <v>1.225244994975901</v>
      </c>
      <c r="AA425" s="618">
        <v>1.2063674102635484</v>
      </c>
      <c r="AB425" s="308">
        <v>1.1874898255511956</v>
      </c>
      <c r="AC425" s="309"/>
      <c r="AD425" s="309"/>
      <c r="AE425" s="309"/>
      <c r="AF425" s="309"/>
      <c r="AG425" s="309"/>
      <c r="AH425" s="309"/>
      <c r="AI425" s="309"/>
      <c r="AJ425" s="309"/>
      <c r="AK425" s="309"/>
      <c r="AL425" s="309"/>
      <c r="AM425" s="309"/>
      <c r="AN425" s="309"/>
      <c r="AO425" s="309"/>
      <c r="AP425" s="163"/>
    </row>
    <row r="426" spans="2:42" x14ac:dyDescent="0.3">
      <c r="B426" s="6"/>
      <c r="C426" s="6"/>
      <c r="D426" s="6">
        <f t="shared" si="28"/>
        <v>10</v>
      </c>
      <c r="E426" s="642" t="str">
        <f t="shared" si="30"/>
        <v>GHG Impacts</v>
      </c>
      <c r="F426" s="303"/>
      <c r="I426" s="308">
        <v>2920.00000420372</v>
      </c>
      <c r="J426" s="308">
        <v>2919.9999998955195</v>
      </c>
      <c r="K426" s="308">
        <v>2920.0000000000141</v>
      </c>
      <c r="L426" s="618">
        <v>2919.8914688080881</v>
      </c>
      <c r="M426" s="618">
        <v>2919.7879336363139</v>
      </c>
      <c r="N426" s="618">
        <v>2919.3010054804367</v>
      </c>
      <c r="O426" s="618">
        <v>2918.8140773245595</v>
      </c>
      <c r="P426" s="618">
        <v>2918.3271491686828</v>
      </c>
      <c r="Q426" s="618">
        <v>2917.8402210128056</v>
      </c>
      <c r="R426" s="618">
        <v>2917.3532928569284</v>
      </c>
      <c r="S426" s="618">
        <v>2910.5423910869513</v>
      </c>
      <c r="T426" s="618">
        <v>2903.7314893169741</v>
      </c>
      <c r="U426" s="618">
        <v>2896.920587546997</v>
      </c>
      <c r="V426" s="618">
        <v>2890.1096857770199</v>
      </c>
      <c r="W426" s="618">
        <v>2883.2987840070427</v>
      </c>
      <c r="X426" s="618">
        <v>2871.2289179549234</v>
      </c>
      <c r="Y426" s="618">
        <v>2859.1590519028045</v>
      </c>
      <c r="Z426" s="618">
        <v>2847.0891858506852</v>
      </c>
      <c r="AA426" s="618">
        <v>2835.0193197985664</v>
      </c>
      <c r="AB426" s="308">
        <v>2822.949453746447</v>
      </c>
      <c r="AC426" s="309"/>
      <c r="AD426" s="309"/>
      <c r="AE426" s="309"/>
      <c r="AF426" s="309"/>
      <c r="AG426" s="309"/>
      <c r="AH426" s="309"/>
      <c r="AI426" s="309"/>
      <c r="AJ426" s="309"/>
      <c r="AK426" s="309"/>
      <c r="AL426" s="309"/>
      <c r="AM426" s="309"/>
      <c r="AN426" s="309"/>
      <c r="AO426" s="309"/>
      <c r="AP426" s="163"/>
    </row>
    <row r="427" spans="2:42" x14ac:dyDescent="0.3">
      <c r="B427" s="6"/>
      <c r="C427" s="6"/>
      <c r="D427" s="6">
        <f t="shared" si="28"/>
        <v>10</v>
      </c>
      <c r="E427" s="642" t="str">
        <f t="shared" si="30"/>
        <v>Market Price Effects - Wholesale Energy</v>
      </c>
      <c r="F427" s="303"/>
      <c r="I427" s="308">
        <v>2920.00000420372</v>
      </c>
      <c r="J427" s="308">
        <v>2919.99999989552</v>
      </c>
      <c r="K427" s="308">
        <v>2920.0000000000132</v>
      </c>
      <c r="L427" s="618">
        <v>2920.0000001854783</v>
      </c>
      <c r="M427" s="618">
        <v>2920.0000050684971</v>
      </c>
      <c r="N427" s="618">
        <v>2919.9863951798711</v>
      </c>
      <c r="O427" s="618">
        <v>2919.9727852912447</v>
      </c>
      <c r="P427" s="618">
        <v>2919.9591754026187</v>
      </c>
      <c r="Q427" s="618">
        <v>2919.9455655139923</v>
      </c>
      <c r="R427" s="618">
        <v>2919.9319556253663</v>
      </c>
      <c r="S427" s="618">
        <v>2919.3361176199228</v>
      </c>
      <c r="T427" s="618">
        <v>2918.7402796144793</v>
      </c>
      <c r="U427" s="618">
        <v>2918.1444416090362</v>
      </c>
      <c r="V427" s="618">
        <v>2917.5486036035927</v>
      </c>
      <c r="W427" s="618">
        <v>2916.9527655981492</v>
      </c>
      <c r="X427" s="618">
        <v>2917.5622127593783</v>
      </c>
      <c r="Y427" s="618">
        <v>2918.1716599206075</v>
      </c>
      <c r="Z427" s="618">
        <v>2918.7811070818361</v>
      </c>
      <c r="AA427" s="618">
        <v>2919.3905542430653</v>
      </c>
      <c r="AB427" s="308">
        <v>2920.0000014042944</v>
      </c>
      <c r="AC427" s="309"/>
      <c r="AD427" s="309"/>
      <c r="AE427" s="309"/>
      <c r="AF427" s="309"/>
      <c r="AG427" s="309"/>
      <c r="AH427" s="309"/>
      <c r="AI427" s="309"/>
      <c r="AJ427" s="309"/>
      <c r="AK427" s="309"/>
      <c r="AL427" s="309"/>
      <c r="AM427" s="309"/>
      <c r="AN427" s="309"/>
      <c r="AO427" s="309"/>
      <c r="AP427" s="163"/>
    </row>
    <row r="428" spans="2:42" x14ac:dyDescent="0.3">
      <c r="B428" s="6"/>
      <c r="C428" s="6"/>
      <c r="D428" s="6">
        <f t="shared" si="28"/>
        <v>10</v>
      </c>
      <c r="E428" s="642" t="str">
        <f t="shared" si="30"/>
        <v>Market Price Effects - Wholesale Capacity</v>
      </c>
      <c r="F428" s="303"/>
      <c r="I428" s="308">
        <v>0</v>
      </c>
      <c r="J428" s="308">
        <v>0</v>
      </c>
      <c r="K428" s="308">
        <v>0</v>
      </c>
      <c r="L428" s="618">
        <v>0</v>
      </c>
      <c r="M428" s="618">
        <v>0</v>
      </c>
      <c r="N428" s="618">
        <v>0</v>
      </c>
      <c r="O428" s="618">
        <v>0</v>
      </c>
      <c r="P428" s="618">
        <v>0</v>
      </c>
      <c r="Q428" s="618">
        <v>0</v>
      </c>
      <c r="R428" s="618">
        <v>0</v>
      </c>
      <c r="S428" s="618">
        <v>0</v>
      </c>
      <c r="T428" s="618">
        <v>0</v>
      </c>
      <c r="U428" s="618">
        <v>0</v>
      </c>
      <c r="V428" s="618">
        <v>0</v>
      </c>
      <c r="W428" s="618">
        <v>0</v>
      </c>
      <c r="X428" s="618">
        <v>0</v>
      </c>
      <c r="Y428" s="618">
        <v>0</v>
      </c>
      <c r="Z428" s="618">
        <v>0</v>
      </c>
      <c r="AA428" s="618">
        <v>0</v>
      </c>
      <c r="AB428" s="308">
        <v>0</v>
      </c>
      <c r="AC428" s="309"/>
      <c r="AD428" s="309"/>
      <c r="AE428" s="309"/>
      <c r="AF428" s="309"/>
      <c r="AG428" s="309"/>
      <c r="AH428" s="309"/>
      <c r="AI428" s="309"/>
      <c r="AJ428" s="309"/>
      <c r="AK428" s="309"/>
      <c r="AL428" s="309"/>
      <c r="AM428" s="309"/>
      <c r="AN428" s="309"/>
      <c r="AO428" s="309"/>
      <c r="AP428" s="163"/>
    </row>
    <row r="429" spans="2:42" x14ac:dyDescent="0.3">
      <c r="B429" s="6"/>
      <c r="C429" s="6"/>
      <c r="D429" s="6">
        <f t="shared" si="28"/>
        <v>10</v>
      </c>
      <c r="E429" s="544"/>
      <c r="F429" s="545"/>
      <c r="G429" s="545"/>
      <c r="H429" s="545"/>
      <c r="I429" s="545"/>
      <c r="J429" s="545"/>
      <c r="K429" s="545"/>
      <c r="L429" s="545"/>
      <c r="M429" s="545"/>
      <c r="N429" s="545"/>
      <c r="O429" s="545"/>
      <c r="P429" s="545"/>
      <c r="Q429" s="545"/>
      <c r="R429" s="545"/>
      <c r="S429" s="545"/>
      <c r="T429" s="545"/>
      <c r="U429" s="545"/>
      <c r="V429" s="545"/>
      <c r="W429" s="545"/>
      <c r="X429" s="545"/>
      <c r="Y429" s="545"/>
      <c r="Z429" s="545"/>
      <c r="AA429" s="545"/>
      <c r="AB429" s="545"/>
      <c r="AC429" s="545"/>
      <c r="AD429" s="545"/>
      <c r="AE429" s="545"/>
      <c r="AF429" s="545"/>
      <c r="AG429" s="545"/>
      <c r="AH429" s="545"/>
      <c r="AI429" s="545"/>
      <c r="AJ429" s="545"/>
      <c r="AK429" s="545"/>
      <c r="AL429" s="545"/>
      <c r="AM429" s="545"/>
      <c r="AN429" s="545"/>
      <c r="AO429" s="545"/>
      <c r="AP429" s="543"/>
    </row>
    <row r="430" spans="2:42" ht="21" x14ac:dyDescent="0.4">
      <c r="B430" s="6"/>
      <c r="C430" s="6"/>
      <c r="D430" s="6">
        <f t="shared" si="28"/>
        <v>11</v>
      </c>
      <c r="E430" s="632" t="str">
        <f>_xlfn.CONCAT(revenueSimulationID," ",$D430,"|",INDEX(StdConfigDesc,$D430,$E$29))</f>
        <v>Case 11|FTM - Market Participant (5 MW / 10 MWh)</v>
      </c>
      <c r="F430" s="633"/>
      <c r="G430" s="633"/>
      <c r="H430" s="633"/>
      <c r="I430" s="633"/>
      <c r="J430" s="633"/>
      <c r="K430" s="633"/>
      <c r="L430" s="633"/>
      <c r="M430" s="633"/>
      <c r="N430" s="633"/>
      <c r="O430" s="633"/>
      <c r="P430" s="633"/>
      <c r="Q430" s="633"/>
      <c r="R430" s="633"/>
      <c r="S430" s="633"/>
      <c r="T430" s="633"/>
      <c r="U430" s="633"/>
      <c r="V430" s="633"/>
      <c r="W430" s="633"/>
      <c r="X430" s="633"/>
      <c r="Y430" s="633"/>
      <c r="Z430" s="633"/>
      <c r="AA430" s="633"/>
      <c r="AB430" s="633"/>
      <c r="AC430" s="633"/>
      <c r="AD430" s="633"/>
      <c r="AE430" s="633"/>
      <c r="AF430" s="633"/>
      <c r="AG430" s="633"/>
      <c r="AH430" s="633"/>
      <c r="AI430" s="633"/>
      <c r="AJ430" s="633"/>
      <c r="AK430" s="633"/>
      <c r="AL430" s="633"/>
      <c r="AM430" s="633"/>
      <c r="AN430" s="633"/>
      <c r="AO430" s="633"/>
      <c r="AP430" s="634"/>
    </row>
    <row r="431" spans="2:42" ht="25.8" x14ac:dyDescent="0.5">
      <c r="B431" s="6"/>
      <c r="C431" s="6"/>
      <c r="D431" s="6">
        <f t="shared" si="28"/>
        <v>11</v>
      </c>
      <c r="E431" s="635"/>
      <c r="F431" s="2">
        <v>2025</v>
      </c>
      <c r="G431" s="2">
        <f>F431+1</f>
        <v>2026</v>
      </c>
      <c r="H431" s="2">
        <f t="shared" ref="H431:AO431" si="31">G431+1</f>
        <v>2027</v>
      </c>
      <c r="I431" s="2">
        <f t="shared" si="31"/>
        <v>2028</v>
      </c>
      <c r="J431" s="2">
        <f t="shared" si="31"/>
        <v>2029</v>
      </c>
      <c r="K431" s="2">
        <f t="shared" si="31"/>
        <v>2030</v>
      </c>
      <c r="L431" s="2">
        <f t="shared" si="31"/>
        <v>2031</v>
      </c>
      <c r="M431" s="2">
        <f t="shared" si="31"/>
        <v>2032</v>
      </c>
      <c r="N431" s="2">
        <f t="shared" si="31"/>
        <v>2033</v>
      </c>
      <c r="O431" s="2">
        <f t="shared" si="31"/>
        <v>2034</v>
      </c>
      <c r="P431" s="2">
        <f t="shared" si="31"/>
        <v>2035</v>
      </c>
      <c r="Q431" s="2">
        <f t="shared" si="31"/>
        <v>2036</v>
      </c>
      <c r="R431" s="2">
        <f t="shared" si="31"/>
        <v>2037</v>
      </c>
      <c r="S431" s="2">
        <f t="shared" si="31"/>
        <v>2038</v>
      </c>
      <c r="T431" s="2">
        <f t="shared" si="31"/>
        <v>2039</v>
      </c>
      <c r="U431" s="2">
        <f t="shared" si="31"/>
        <v>2040</v>
      </c>
      <c r="V431" s="2">
        <f t="shared" si="31"/>
        <v>2041</v>
      </c>
      <c r="W431" s="2">
        <f t="shared" si="31"/>
        <v>2042</v>
      </c>
      <c r="X431" s="2">
        <f t="shared" si="31"/>
        <v>2043</v>
      </c>
      <c r="Y431" s="2">
        <f t="shared" si="31"/>
        <v>2044</v>
      </c>
      <c r="Z431" s="2">
        <f t="shared" si="31"/>
        <v>2045</v>
      </c>
      <c r="AA431" s="2">
        <f t="shared" si="31"/>
        <v>2046</v>
      </c>
      <c r="AB431" s="2">
        <f t="shared" si="31"/>
        <v>2047</v>
      </c>
      <c r="AC431" s="2">
        <f t="shared" si="31"/>
        <v>2048</v>
      </c>
      <c r="AD431" s="2">
        <f t="shared" si="31"/>
        <v>2049</v>
      </c>
      <c r="AE431" s="2">
        <f t="shared" si="31"/>
        <v>2050</v>
      </c>
      <c r="AF431" s="2">
        <f t="shared" si="31"/>
        <v>2051</v>
      </c>
      <c r="AG431" s="2">
        <f t="shared" si="31"/>
        <v>2052</v>
      </c>
      <c r="AH431" s="2">
        <f t="shared" si="31"/>
        <v>2053</v>
      </c>
      <c r="AI431" s="2">
        <f t="shared" si="31"/>
        <v>2054</v>
      </c>
      <c r="AJ431" s="2">
        <f t="shared" si="31"/>
        <v>2055</v>
      </c>
      <c r="AK431" s="2">
        <f t="shared" si="31"/>
        <v>2056</v>
      </c>
      <c r="AL431" s="2">
        <f t="shared" si="31"/>
        <v>2057</v>
      </c>
      <c r="AM431" s="2">
        <f t="shared" si="31"/>
        <v>2058</v>
      </c>
      <c r="AN431" s="2">
        <f t="shared" si="31"/>
        <v>2059</v>
      </c>
      <c r="AO431" s="2">
        <f t="shared" si="31"/>
        <v>2060</v>
      </c>
      <c r="AP431" s="163"/>
    </row>
    <row r="432" spans="2:42" x14ac:dyDescent="0.3">
      <c r="B432" s="6"/>
      <c r="C432" s="6"/>
      <c r="D432" s="6">
        <f t="shared" si="28"/>
        <v>11</v>
      </c>
      <c r="E432" s="636" t="str">
        <f>E392</f>
        <v>Capacity - PJM Market</v>
      </c>
      <c r="F432" s="302"/>
      <c r="G432" s="317"/>
      <c r="H432" s="317"/>
      <c r="I432" s="317">
        <f>'Capacity Values'!D28</f>
        <v>172767.229375</v>
      </c>
      <c r="J432" s="317">
        <f>'Capacity Values'!E28</f>
        <v>191963.62327500002</v>
      </c>
      <c r="K432" s="317">
        <f>'Capacity Values'!F28</f>
        <v>209517.10289999997</v>
      </c>
      <c r="L432" s="317">
        <f>'Capacity Values'!G28</f>
        <v>177658.20930000002</v>
      </c>
      <c r="M432" s="317">
        <f>'Capacity Values'!H28</f>
        <v>149315.076</v>
      </c>
      <c r="N432" s="317">
        <f>'Capacity Values'!I28</f>
        <v>143927.21062500001</v>
      </c>
      <c r="O432" s="317">
        <f>'Capacity Values'!J28</f>
        <v>142126.7003</v>
      </c>
      <c r="P432" s="317">
        <f>'Capacity Values'!K28</f>
        <v>141773.32190000001</v>
      </c>
      <c r="Q432" s="317">
        <f>'Capacity Values'!L28</f>
        <v>142836.57146250003</v>
      </c>
      <c r="R432" s="317">
        <f>'Capacity Values'!M28</f>
        <v>142086.53387499999</v>
      </c>
      <c r="S432" s="317">
        <f>'Capacity Values'!N28</f>
        <v>140518.13343749999</v>
      </c>
      <c r="T432" s="317">
        <f>'Capacity Values'!O28</f>
        <v>138484.6281</v>
      </c>
      <c r="U432" s="317">
        <f>'Capacity Values'!P28</f>
        <v>136242.53895000005</v>
      </c>
      <c r="V432" s="317">
        <f>'Capacity Values'!Q28</f>
        <v>133827.67887500001</v>
      </c>
      <c r="W432" s="317">
        <f>'Capacity Values'!R28</f>
        <v>131237.44725</v>
      </c>
      <c r="X432" s="317">
        <f>'Capacity Values'!S28</f>
        <v>128188.82125000001</v>
      </c>
      <c r="Y432" s="317">
        <f>'Capacity Values'!T28</f>
        <v>125291.24684999998</v>
      </c>
      <c r="Z432" s="317">
        <f>'Capacity Values'!U28</f>
        <v>122219.41049999998</v>
      </c>
      <c r="AA432" s="317">
        <f>'Capacity Values'!V28</f>
        <v>118325.87520000001</v>
      </c>
      <c r="AB432" s="317">
        <f>'Capacity Values'!W28</f>
        <v>114426.624</v>
      </c>
      <c r="AC432" s="317"/>
      <c r="AD432" s="317"/>
      <c r="AE432" s="317"/>
      <c r="AF432" s="317"/>
      <c r="AG432" s="317"/>
      <c r="AH432" s="317"/>
      <c r="AI432" s="317"/>
      <c r="AJ432" s="317"/>
      <c r="AK432" s="317"/>
      <c r="AL432" s="317"/>
      <c r="AM432" s="317"/>
      <c r="AN432" s="317"/>
      <c r="AO432" s="317"/>
      <c r="AP432" s="163"/>
    </row>
    <row r="433" spans="2:42" x14ac:dyDescent="0.3">
      <c r="B433" s="6"/>
      <c r="C433" s="6"/>
      <c r="D433" s="6">
        <f t="shared" si="28"/>
        <v>11</v>
      </c>
      <c r="E433" s="636" t="str">
        <f t="shared" ref="E433:E468" si="32">E393</f>
        <v>Energy Arbitrage - PJM Market</v>
      </c>
      <c r="F433" s="303"/>
      <c r="G433" s="304"/>
      <c r="H433" s="304"/>
      <c r="I433" s="304">
        <v>170876.18847901799</v>
      </c>
      <c r="J433" s="304">
        <v>177486.6926408236</v>
      </c>
      <c r="K433" s="304">
        <v>209452.51516331208</v>
      </c>
      <c r="L433" s="304">
        <v>209898.82684757505</v>
      </c>
      <c r="M433" s="304">
        <v>224115.6928876293</v>
      </c>
      <c r="N433" s="304">
        <v>235834.83958261926</v>
      </c>
      <c r="O433" s="304">
        <v>247553.98627760925</v>
      </c>
      <c r="P433" s="304">
        <v>259273.13297259918</v>
      </c>
      <c r="Q433" s="304">
        <v>270992.27966758923</v>
      </c>
      <c r="R433" s="304">
        <v>282711.42636257916</v>
      </c>
      <c r="S433" s="304">
        <v>324218.50393725891</v>
      </c>
      <c r="T433" s="304">
        <v>365725.58151193848</v>
      </c>
      <c r="U433" s="304">
        <v>407232.65908661822</v>
      </c>
      <c r="V433" s="304">
        <v>448739.73666129785</v>
      </c>
      <c r="W433" s="304">
        <v>490246.81423597754</v>
      </c>
      <c r="X433" s="304">
        <v>514116.06273718679</v>
      </c>
      <c r="Y433" s="304">
        <v>537985.31123839587</v>
      </c>
      <c r="Z433" s="304">
        <v>561854.55973960506</v>
      </c>
      <c r="AA433" s="304">
        <v>585723.80824081425</v>
      </c>
      <c r="AB433" s="304">
        <v>609593.05674202344</v>
      </c>
      <c r="AC433" s="304"/>
      <c r="AD433" s="304"/>
      <c r="AE433" s="304"/>
      <c r="AF433" s="304"/>
      <c r="AG433" s="304"/>
      <c r="AH433" s="304"/>
      <c r="AI433" s="304"/>
      <c r="AJ433" s="304"/>
      <c r="AK433" s="304"/>
      <c r="AL433" s="304"/>
      <c r="AM433" s="304"/>
      <c r="AN433" s="304"/>
      <c r="AO433" s="304"/>
      <c r="AP433" s="163"/>
    </row>
    <row r="434" spans="2:42" x14ac:dyDescent="0.3">
      <c r="B434" s="6"/>
      <c r="C434" s="6"/>
      <c r="D434" s="6">
        <f t="shared" si="28"/>
        <v>11</v>
      </c>
      <c r="E434" s="636" t="str">
        <f t="shared" si="32"/>
        <v>Spin- PJM Market</v>
      </c>
      <c r="F434" s="303"/>
      <c r="G434" s="304"/>
      <c r="H434" s="304"/>
      <c r="I434" s="304">
        <v>56636.394031183765</v>
      </c>
      <c r="J434" s="304">
        <v>52467.600116809866</v>
      </c>
      <c r="K434" s="304">
        <v>54177.333133592227</v>
      </c>
      <c r="L434" s="304">
        <v>50366.513902620325</v>
      </c>
      <c r="M434" s="304">
        <v>47576.673903317773</v>
      </c>
      <c r="N434" s="304">
        <v>48692.462114885311</v>
      </c>
      <c r="O434" s="304">
        <v>49808.250326452857</v>
      </c>
      <c r="P434" s="304">
        <v>50924.038538020395</v>
      </c>
      <c r="Q434" s="304">
        <v>52039.826749587941</v>
      </c>
      <c r="R434" s="304">
        <v>53155.614961155479</v>
      </c>
      <c r="S434" s="304">
        <v>55572.529231255154</v>
      </c>
      <c r="T434" s="304">
        <v>57989.443501354828</v>
      </c>
      <c r="U434" s="304">
        <v>60406.357771454495</v>
      </c>
      <c r="V434" s="304">
        <v>62823.27204155417</v>
      </c>
      <c r="W434" s="304">
        <v>65240.186311653844</v>
      </c>
      <c r="X434" s="304">
        <v>68078.730502000806</v>
      </c>
      <c r="Y434" s="304">
        <v>70917.274692347753</v>
      </c>
      <c r="Z434" s="304">
        <v>73755.818882694715</v>
      </c>
      <c r="AA434" s="304">
        <v>76594.363073041663</v>
      </c>
      <c r="AB434" s="304">
        <v>79432.907263388624</v>
      </c>
      <c r="AC434" s="304"/>
      <c r="AD434" s="304"/>
      <c r="AE434" s="304"/>
      <c r="AF434" s="304"/>
      <c r="AG434" s="304"/>
      <c r="AH434" s="304"/>
      <c r="AI434" s="304"/>
      <c r="AJ434" s="304"/>
      <c r="AK434" s="304"/>
      <c r="AL434" s="304"/>
      <c r="AM434" s="304"/>
      <c r="AN434" s="304"/>
      <c r="AO434" s="304"/>
      <c r="AP434" s="163"/>
    </row>
    <row r="435" spans="2:42" x14ac:dyDescent="0.3">
      <c r="B435" s="6"/>
      <c r="C435" s="6"/>
      <c r="D435" s="6">
        <f t="shared" si="28"/>
        <v>11</v>
      </c>
      <c r="E435" s="636" t="str">
        <f t="shared" si="32"/>
        <v>Non-Spin - PJM Market</v>
      </c>
      <c r="F435" s="303"/>
      <c r="G435" s="304"/>
      <c r="H435" s="304"/>
      <c r="I435" s="304">
        <v>0</v>
      </c>
      <c r="J435" s="304">
        <v>0</v>
      </c>
      <c r="K435" s="304">
        <v>0</v>
      </c>
      <c r="L435" s="304">
        <v>0</v>
      </c>
      <c r="M435" s="304">
        <v>0</v>
      </c>
      <c r="N435" s="304">
        <v>0</v>
      </c>
      <c r="O435" s="304">
        <v>0</v>
      </c>
      <c r="P435" s="304">
        <v>0</v>
      </c>
      <c r="Q435" s="304">
        <v>0</v>
      </c>
      <c r="R435" s="304">
        <v>0</v>
      </c>
      <c r="S435" s="304">
        <v>0</v>
      </c>
      <c r="T435" s="304">
        <v>0</v>
      </c>
      <c r="U435" s="304">
        <v>0</v>
      </c>
      <c r="V435" s="304">
        <v>0</v>
      </c>
      <c r="W435" s="304">
        <v>0</v>
      </c>
      <c r="X435" s="304">
        <v>0</v>
      </c>
      <c r="Y435" s="304">
        <v>0</v>
      </c>
      <c r="Z435" s="304">
        <v>0</v>
      </c>
      <c r="AA435" s="304">
        <v>0</v>
      </c>
      <c r="AB435" s="304">
        <v>0</v>
      </c>
      <c r="AC435" s="304"/>
      <c r="AD435" s="304"/>
      <c r="AE435" s="304"/>
      <c r="AF435" s="304"/>
      <c r="AG435" s="304"/>
      <c r="AH435" s="304"/>
      <c r="AI435" s="304"/>
      <c r="AJ435" s="304"/>
      <c r="AK435" s="304"/>
      <c r="AL435" s="304"/>
      <c r="AM435" s="304"/>
      <c r="AN435" s="304"/>
      <c r="AO435" s="304"/>
      <c r="AP435" s="163"/>
    </row>
    <row r="436" spans="2:42" x14ac:dyDescent="0.3">
      <c r="B436" s="6"/>
      <c r="C436" s="6"/>
      <c r="D436" s="6">
        <f t="shared" si="28"/>
        <v>11</v>
      </c>
      <c r="E436" s="636" t="str">
        <f t="shared" si="32"/>
        <v>Regulation - PJM Market</v>
      </c>
      <c r="F436" s="303"/>
      <c r="G436" s="304"/>
      <c r="H436" s="304"/>
      <c r="I436" s="304">
        <v>326383.0892567691</v>
      </c>
      <c r="J436" s="304">
        <v>147564.16613283163</v>
      </c>
      <c r="K436" s="304">
        <v>79009.304551153007</v>
      </c>
      <c r="L436" s="304">
        <v>48613.86348694648</v>
      </c>
      <c r="M436" s="304">
        <v>30869.347376935293</v>
      </c>
      <c r="N436" s="304">
        <v>27926.518622765427</v>
      </c>
      <c r="O436" s="304">
        <v>24983.689868595542</v>
      </c>
      <c r="P436" s="304">
        <v>22040.861114425657</v>
      </c>
      <c r="Q436" s="304">
        <v>19098.032360255784</v>
      </c>
      <c r="R436" s="304">
        <v>16155.203606085905</v>
      </c>
      <c r="S436" s="304">
        <v>17217.969723451137</v>
      </c>
      <c r="T436" s="304">
        <v>18280.735840816371</v>
      </c>
      <c r="U436" s="304">
        <v>19343.501958181609</v>
      </c>
      <c r="V436" s="304">
        <v>20406.268075546846</v>
      </c>
      <c r="W436" s="304">
        <v>21469.034192912077</v>
      </c>
      <c r="X436" s="304">
        <v>21325.637931266589</v>
      </c>
      <c r="Y436" s="304">
        <v>21182.241669621093</v>
      </c>
      <c r="Z436" s="304">
        <v>21038.845407975605</v>
      </c>
      <c r="AA436" s="304">
        <v>20895.449146330113</v>
      </c>
      <c r="AB436" s="304">
        <v>20752.052884684614</v>
      </c>
      <c r="AC436" s="304"/>
      <c r="AD436" s="304"/>
      <c r="AE436" s="304"/>
      <c r="AF436" s="304"/>
      <c r="AG436" s="304"/>
      <c r="AH436" s="304"/>
      <c r="AI436" s="304"/>
      <c r="AJ436" s="304"/>
      <c r="AK436" s="304"/>
      <c r="AL436" s="304"/>
      <c r="AM436" s="304"/>
      <c r="AN436" s="304"/>
      <c r="AO436" s="304"/>
      <c r="AP436" s="163"/>
    </row>
    <row r="437" spans="2:42" x14ac:dyDescent="0.3">
      <c r="B437" s="6"/>
      <c r="C437" s="6"/>
      <c r="D437" s="6">
        <f t="shared" si="28"/>
        <v>11</v>
      </c>
      <c r="E437" s="636" t="str">
        <f t="shared" si="32"/>
        <v>Incurred Energy Charges</v>
      </c>
      <c r="F437" s="303"/>
      <c r="G437" s="304"/>
      <c r="H437" s="304"/>
      <c r="I437" s="304">
        <v>0</v>
      </c>
      <c r="J437" s="304">
        <v>0</v>
      </c>
      <c r="K437" s="304">
        <v>0</v>
      </c>
      <c r="L437" s="304">
        <v>0</v>
      </c>
      <c r="M437" s="304">
        <v>0</v>
      </c>
      <c r="N437" s="304">
        <v>0</v>
      </c>
      <c r="O437" s="304">
        <v>0</v>
      </c>
      <c r="P437" s="304">
        <v>0</v>
      </c>
      <c r="Q437" s="304">
        <v>0</v>
      </c>
      <c r="R437" s="304">
        <v>0</v>
      </c>
      <c r="S437" s="304">
        <v>0</v>
      </c>
      <c r="T437" s="304">
        <v>0</v>
      </c>
      <c r="U437" s="304">
        <v>0</v>
      </c>
      <c r="V437" s="304">
        <v>0</v>
      </c>
      <c r="W437" s="304">
        <v>0</v>
      </c>
      <c r="X437" s="304">
        <v>0</v>
      </c>
      <c r="Y437" s="304">
        <v>0</v>
      </c>
      <c r="Z437" s="304">
        <v>0</v>
      </c>
      <c r="AA437" s="304">
        <v>0</v>
      </c>
      <c r="AB437" s="304">
        <v>0</v>
      </c>
      <c r="AC437" s="304"/>
      <c r="AD437" s="304"/>
      <c r="AE437" s="304"/>
      <c r="AF437" s="304"/>
      <c r="AG437" s="304"/>
      <c r="AH437" s="304"/>
      <c r="AI437" s="304"/>
      <c r="AJ437" s="304"/>
      <c r="AK437" s="304"/>
      <c r="AL437" s="304"/>
      <c r="AM437" s="304"/>
      <c r="AN437" s="304"/>
      <c r="AO437" s="304"/>
      <c r="AP437" s="163"/>
    </row>
    <row r="438" spans="2:42" x14ac:dyDescent="0.3">
      <c r="B438" s="6"/>
      <c r="C438" s="6"/>
      <c r="D438" s="6">
        <f t="shared" si="28"/>
        <v>11</v>
      </c>
      <c r="E438" s="636" t="str">
        <f t="shared" si="32"/>
        <v>As Used Demand Charges</v>
      </c>
      <c r="F438" s="303"/>
      <c r="G438" s="304"/>
      <c r="H438" s="304"/>
      <c r="I438" s="304">
        <v>-46506.839446364618</v>
      </c>
      <c r="J438" s="304">
        <v>-55487.418608651889</v>
      </c>
      <c r="K438" s="304">
        <v>-45171.93567002799</v>
      </c>
      <c r="L438" s="304">
        <v>-50381.117622852988</v>
      </c>
      <c r="M438" s="304">
        <v>-58104.388011885625</v>
      </c>
      <c r="N438" s="304">
        <v>-62996.748943348</v>
      </c>
      <c r="O438" s="304">
        <v>-67889.109874810369</v>
      </c>
      <c r="P438" s="304">
        <v>-72781.470806272744</v>
      </c>
      <c r="Q438" s="304">
        <v>-77673.83173773512</v>
      </c>
      <c r="R438" s="304">
        <v>-82566.192669197495</v>
      </c>
      <c r="S438" s="304">
        <v>-86095.720009779296</v>
      </c>
      <c r="T438" s="304">
        <v>-89625.247350361111</v>
      </c>
      <c r="U438" s="304">
        <v>-93154.774690942912</v>
      </c>
      <c r="V438" s="304">
        <v>-96684.302031524727</v>
      </c>
      <c r="W438" s="304">
        <v>-100213.82937210653</v>
      </c>
      <c r="X438" s="304">
        <v>-100577.86331883464</v>
      </c>
      <c r="Y438" s="304">
        <v>-100941.89726556276</v>
      </c>
      <c r="Z438" s="304">
        <v>-101305.93121229086</v>
      </c>
      <c r="AA438" s="304">
        <v>-101669.96515901898</v>
      </c>
      <c r="AB438" s="304">
        <v>-102033.99910574709</v>
      </c>
      <c r="AC438" s="304"/>
      <c r="AD438" s="304"/>
      <c r="AE438" s="304"/>
      <c r="AF438" s="304"/>
      <c r="AG438" s="304"/>
      <c r="AH438" s="304"/>
      <c r="AI438" s="304"/>
      <c r="AJ438" s="304"/>
      <c r="AK438" s="304"/>
      <c r="AL438" s="304"/>
      <c r="AM438" s="304"/>
      <c r="AN438" s="304"/>
      <c r="AO438" s="304"/>
      <c r="AP438" s="163"/>
    </row>
    <row r="439" spans="2:42" x14ac:dyDescent="0.3">
      <c r="B439" s="6"/>
      <c r="C439" s="6"/>
      <c r="D439" s="6">
        <f t="shared" si="28"/>
        <v>11</v>
      </c>
      <c r="E439" s="636" t="str">
        <f t="shared" si="32"/>
        <v>Contract Demand Charges  Fixed</v>
      </c>
      <c r="F439" s="303"/>
      <c r="G439" s="304"/>
      <c r="H439" s="304"/>
      <c r="I439" s="304">
        <v>0</v>
      </c>
      <c r="J439" s="304">
        <v>0</v>
      </c>
      <c r="K439" s="304">
        <v>0</v>
      </c>
      <c r="L439" s="304">
        <v>0</v>
      </c>
      <c r="M439" s="304">
        <v>0</v>
      </c>
      <c r="N439" s="304">
        <v>0</v>
      </c>
      <c r="O439" s="304">
        <v>0</v>
      </c>
      <c r="P439" s="304">
        <v>0</v>
      </c>
      <c r="Q439" s="304">
        <v>0</v>
      </c>
      <c r="R439" s="304">
        <v>0</v>
      </c>
      <c r="S439" s="304">
        <v>0</v>
      </c>
      <c r="T439" s="304">
        <v>0</v>
      </c>
      <c r="U439" s="304">
        <v>0</v>
      </c>
      <c r="V439" s="304">
        <v>0</v>
      </c>
      <c r="W439" s="304">
        <v>0</v>
      </c>
      <c r="X439" s="304">
        <v>0</v>
      </c>
      <c r="Y439" s="304">
        <v>0</v>
      </c>
      <c r="Z439" s="304">
        <v>0</v>
      </c>
      <c r="AA439" s="304">
        <v>0</v>
      </c>
      <c r="AB439" s="304">
        <v>0</v>
      </c>
      <c r="AC439" s="304"/>
      <c r="AD439" s="304"/>
      <c r="AE439" s="304"/>
      <c r="AF439" s="304"/>
      <c r="AG439" s="304"/>
      <c r="AH439" s="304"/>
      <c r="AI439" s="304"/>
      <c r="AJ439" s="304"/>
      <c r="AK439" s="304"/>
      <c r="AL439" s="304"/>
      <c r="AM439" s="304"/>
      <c r="AN439" s="304"/>
      <c r="AO439" s="304"/>
      <c r="AP439" s="163"/>
    </row>
    <row r="440" spans="2:42" x14ac:dyDescent="0.3">
      <c r="B440" s="6"/>
      <c r="C440" s="6"/>
      <c r="D440" s="6">
        <f t="shared" si="28"/>
        <v>11</v>
      </c>
      <c r="E440" s="636" t="str">
        <f t="shared" si="32"/>
        <v>Customer Charges/ Fixed Charges</v>
      </c>
      <c r="F440" s="303"/>
      <c r="G440" s="304"/>
      <c r="H440" s="304"/>
      <c r="I440" s="304">
        <v>-404.17228800000004</v>
      </c>
      <c r="J440" s="304">
        <v>-420.33917952000007</v>
      </c>
      <c r="K440" s="304">
        <v>-437.15274670080009</v>
      </c>
      <c r="L440" s="304">
        <v>-454.63885656883213</v>
      </c>
      <c r="M440" s="304">
        <v>-472.82441083158545</v>
      </c>
      <c r="N440" s="304">
        <v>-491.73738726484891</v>
      </c>
      <c r="O440" s="304">
        <v>-511.40688275544289</v>
      </c>
      <c r="P440" s="304">
        <v>-531.86315806566063</v>
      </c>
      <c r="Q440" s="304">
        <v>-553.13768438828708</v>
      </c>
      <c r="R440" s="304">
        <v>-575.26319176381855</v>
      </c>
      <c r="S440" s="304">
        <v>-598.27371943437129</v>
      </c>
      <c r="T440" s="304">
        <v>-622.20466821174614</v>
      </c>
      <c r="U440" s="304">
        <v>-647.09285494021606</v>
      </c>
      <c r="V440" s="304">
        <v>-672.97656913782475</v>
      </c>
      <c r="W440" s="304">
        <v>-699.89563190333774</v>
      </c>
      <c r="X440" s="304">
        <v>-727.89145717947133</v>
      </c>
      <c r="Y440" s="304">
        <v>-757.00711546665025</v>
      </c>
      <c r="Z440" s="304">
        <v>-787.28740008531634</v>
      </c>
      <c r="AA440" s="304">
        <v>-818.77889608872897</v>
      </c>
      <c r="AB440" s="304">
        <v>-851.53005193227818</v>
      </c>
      <c r="AC440" s="304"/>
      <c r="AD440" s="304"/>
      <c r="AE440" s="304"/>
      <c r="AF440" s="304"/>
      <c r="AG440" s="304"/>
      <c r="AH440" s="304"/>
      <c r="AI440" s="304"/>
      <c r="AJ440" s="304"/>
      <c r="AK440" s="304"/>
      <c r="AL440" s="304"/>
      <c r="AM440" s="304"/>
      <c r="AN440" s="304"/>
      <c r="AO440" s="304"/>
      <c r="AP440" s="163"/>
    </row>
    <row r="441" spans="2:42" x14ac:dyDescent="0.3">
      <c r="B441" s="6"/>
      <c r="C441" s="6"/>
      <c r="D441" s="6">
        <f t="shared" si="28"/>
        <v>11</v>
      </c>
      <c r="E441" s="637" t="str">
        <f t="shared" si="32"/>
        <v>Energy Savings</v>
      </c>
      <c r="F441" s="303"/>
      <c r="G441" s="304"/>
      <c r="H441" s="304"/>
      <c r="I441" s="304">
        <v>0</v>
      </c>
      <c r="J441" s="304">
        <v>0</v>
      </c>
      <c r="K441" s="304">
        <v>0</v>
      </c>
      <c r="L441" s="617">
        <v>0</v>
      </c>
      <c r="M441" s="617">
        <v>0</v>
      </c>
      <c r="N441" s="617">
        <v>0</v>
      </c>
      <c r="O441" s="617">
        <v>0</v>
      </c>
      <c r="P441" s="617">
        <v>0</v>
      </c>
      <c r="Q441" s="617">
        <v>0</v>
      </c>
      <c r="R441" s="617">
        <v>0</v>
      </c>
      <c r="S441" s="617">
        <v>0</v>
      </c>
      <c r="T441" s="617">
        <v>0</v>
      </c>
      <c r="U441" s="617">
        <v>0</v>
      </c>
      <c r="V441" s="617">
        <v>0</v>
      </c>
      <c r="W441" s="617">
        <v>0</v>
      </c>
      <c r="X441" s="617">
        <v>0</v>
      </c>
      <c r="Y441" s="617">
        <v>0</v>
      </c>
      <c r="Z441" s="617">
        <v>0</v>
      </c>
      <c r="AA441" s="617">
        <v>0</v>
      </c>
      <c r="AB441" s="304">
        <v>0</v>
      </c>
      <c r="AC441" s="304"/>
      <c r="AD441" s="304"/>
      <c r="AE441" s="304"/>
      <c r="AF441" s="304"/>
      <c r="AG441" s="304"/>
      <c r="AH441" s="304"/>
      <c r="AI441" s="304"/>
      <c r="AJ441" s="304"/>
      <c r="AK441" s="304"/>
      <c r="AL441" s="304"/>
      <c r="AM441" s="304"/>
      <c r="AN441" s="304"/>
      <c r="AO441" s="304"/>
      <c r="AP441" s="163"/>
    </row>
    <row r="442" spans="2:42" x14ac:dyDescent="0.3">
      <c r="B442" s="6"/>
      <c r="C442" s="6"/>
      <c r="D442" s="6">
        <f t="shared" si="28"/>
        <v>11</v>
      </c>
      <c r="E442" s="637" t="str">
        <f t="shared" si="32"/>
        <v xml:space="preserve">Demand Savings </v>
      </c>
      <c r="F442" s="303"/>
      <c r="G442" s="304"/>
      <c r="H442" s="304"/>
      <c r="I442" s="304">
        <v>0</v>
      </c>
      <c r="J442" s="304">
        <v>0</v>
      </c>
      <c r="K442" s="304">
        <v>0</v>
      </c>
      <c r="L442" s="617">
        <v>0</v>
      </c>
      <c r="M442" s="617">
        <v>0</v>
      </c>
      <c r="N442" s="617">
        <v>0</v>
      </c>
      <c r="O442" s="617">
        <v>0</v>
      </c>
      <c r="P442" s="617">
        <v>0</v>
      </c>
      <c r="Q442" s="617">
        <v>0</v>
      </c>
      <c r="R442" s="617">
        <v>0</v>
      </c>
      <c r="S442" s="617">
        <v>0</v>
      </c>
      <c r="T442" s="617">
        <v>0</v>
      </c>
      <c r="U442" s="617">
        <v>0</v>
      </c>
      <c r="V442" s="617">
        <v>0</v>
      </c>
      <c r="W442" s="617">
        <v>0</v>
      </c>
      <c r="X442" s="617">
        <v>0</v>
      </c>
      <c r="Y442" s="617">
        <v>0</v>
      </c>
      <c r="Z442" s="617">
        <v>0</v>
      </c>
      <c r="AA442" s="617">
        <v>0</v>
      </c>
      <c r="AB442" s="304">
        <v>0</v>
      </c>
      <c r="AC442" s="304"/>
      <c r="AD442" s="304"/>
      <c r="AE442" s="304"/>
      <c r="AF442" s="304"/>
      <c r="AG442" s="304"/>
      <c r="AH442" s="304"/>
      <c r="AI442" s="304"/>
      <c r="AJ442" s="304"/>
      <c r="AK442" s="304"/>
      <c r="AL442" s="304"/>
      <c r="AM442" s="304"/>
      <c r="AN442" s="304"/>
      <c r="AO442" s="304"/>
      <c r="AP442" s="163"/>
    </row>
    <row r="443" spans="2:42" x14ac:dyDescent="0.3">
      <c r="B443" s="6"/>
      <c r="C443" s="6"/>
      <c r="D443" s="6">
        <f t="shared" si="28"/>
        <v>11</v>
      </c>
      <c r="E443" s="638" t="str">
        <f t="shared" si="32"/>
        <v>Energy Generation - Export</v>
      </c>
      <c r="F443" s="303"/>
      <c r="G443" s="304"/>
      <c r="H443" s="304"/>
      <c r="I443" s="304">
        <v>0</v>
      </c>
      <c r="J443" s="304">
        <v>0</v>
      </c>
      <c r="K443" s="304">
        <v>0</v>
      </c>
      <c r="L443" s="617">
        <v>0</v>
      </c>
      <c r="M443" s="617">
        <v>0</v>
      </c>
      <c r="N443" s="617">
        <v>0</v>
      </c>
      <c r="O443" s="617">
        <v>0</v>
      </c>
      <c r="P443" s="617">
        <v>0</v>
      </c>
      <c r="Q443" s="617">
        <v>0</v>
      </c>
      <c r="R443" s="617">
        <v>0</v>
      </c>
      <c r="S443" s="617">
        <v>0</v>
      </c>
      <c r="T443" s="617">
        <v>0</v>
      </c>
      <c r="U443" s="617">
        <v>0</v>
      </c>
      <c r="V443" s="617">
        <v>0</v>
      </c>
      <c r="W443" s="617">
        <v>0</v>
      </c>
      <c r="X443" s="617">
        <v>0</v>
      </c>
      <c r="Y443" s="617">
        <v>0</v>
      </c>
      <c r="Z443" s="617">
        <v>0</v>
      </c>
      <c r="AA443" s="617">
        <v>0</v>
      </c>
      <c r="AB443" s="304">
        <v>0</v>
      </c>
      <c r="AC443" s="304"/>
      <c r="AD443" s="304"/>
      <c r="AE443" s="304"/>
      <c r="AF443" s="304"/>
      <c r="AG443" s="304"/>
      <c r="AH443" s="304"/>
      <c r="AI443" s="304"/>
      <c r="AJ443" s="304"/>
      <c r="AK443" s="304"/>
      <c r="AL443" s="304"/>
      <c r="AM443" s="304"/>
      <c r="AN443" s="304"/>
      <c r="AO443" s="304"/>
      <c r="AP443" s="163"/>
    </row>
    <row r="444" spans="2:42" x14ac:dyDescent="0.3">
      <c r="B444" s="6"/>
      <c r="C444" s="6"/>
      <c r="D444" s="6">
        <f t="shared" si="28"/>
        <v>11</v>
      </c>
      <c r="E444" s="638" t="str">
        <f t="shared" si="32"/>
        <v>Generation Capacity</v>
      </c>
      <c r="F444" s="303"/>
      <c r="G444" s="304"/>
      <c r="H444" s="304"/>
      <c r="I444" s="304">
        <v>0</v>
      </c>
      <c r="J444" s="304">
        <v>0</v>
      </c>
      <c r="K444" s="304">
        <v>0</v>
      </c>
      <c r="L444" s="617">
        <v>0</v>
      </c>
      <c r="M444" s="617">
        <v>0</v>
      </c>
      <c r="N444" s="617">
        <v>0</v>
      </c>
      <c r="O444" s="617">
        <v>0</v>
      </c>
      <c r="P444" s="617">
        <v>0</v>
      </c>
      <c r="Q444" s="617">
        <v>0</v>
      </c>
      <c r="R444" s="617">
        <v>0</v>
      </c>
      <c r="S444" s="617">
        <v>0</v>
      </c>
      <c r="T444" s="617">
        <v>0</v>
      </c>
      <c r="U444" s="617">
        <v>0</v>
      </c>
      <c r="V444" s="617">
        <v>0</v>
      </c>
      <c r="W444" s="617">
        <v>0</v>
      </c>
      <c r="X444" s="617">
        <v>0</v>
      </c>
      <c r="Y444" s="617">
        <v>0</v>
      </c>
      <c r="Z444" s="617">
        <v>0</v>
      </c>
      <c r="AA444" s="617">
        <v>0</v>
      </c>
      <c r="AB444" s="304">
        <v>0</v>
      </c>
      <c r="AC444" s="304"/>
      <c r="AD444" s="304"/>
      <c r="AE444" s="304"/>
      <c r="AF444" s="304"/>
      <c r="AG444" s="304"/>
      <c r="AH444" s="304"/>
      <c r="AI444" s="304"/>
      <c r="AJ444" s="304"/>
      <c r="AK444" s="304"/>
      <c r="AL444" s="304"/>
      <c r="AM444" s="304"/>
      <c r="AN444" s="304"/>
      <c r="AO444" s="304"/>
      <c r="AP444" s="163"/>
    </row>
    <row r="445" spans="2:42" x14ac:dyDescent="0.3">
      <c r="B445" s="6"/>
      <c r="C445" s="6"/>
      <c r="D445" s="6">
        <f t="shared" si="28"/>
        <v>11</v>
      </c>
      <c r="E445" s="638" t="str">
        <f t="shared" si="32"/>
        <v>Transmission Capacity</v>
      </c>
      <c r="F445" s="303"/>
      <c r="G445" s="304"/>
      <c r="H445" s="304"/>
      <c r="I445" s="304">
        <v>151964.28278765312</v>
      </c>
      <c r="J445" s="304">
        <v>147057.8558359913</v>
      </c>
      <c r="K445" s="304">
        <v>120744.28980109576</v>
      </c>
      <c r="L445" s="617">
        <v>122399.82407667421</v>
      </c>
      <c r="M445" s="617">
        <v>122366.62112108119</v>
      </c>
      <c r="N445" s="617">
        <v>122400.46273463001</v>
      </c>
      <c r="O445" s="617">
        <v>122434.30434817883</v>
      </c>
      <c r="P445" s="617">
        <v>122468.14596172767</v>
      </c>
      <c r="Q445" s="617">
        <v>122501.98757527649</v>
      </c>
      <c r="R445" s="617">
        <v>122535.82918882532</v>
      </c>
      <c r="S445" s="617">
        <v>124669.63848165284</v>
      </c>
      <c r="T445" s="617">
        <v>126803.44777448037</v>
      </c>
      <c r="U445" s="617">
        <v>128937.25706730789</v>
      </c>
      <c r="V445" s="617">
        <v>131071.06636013542</v>
      </c>
      <c r="W445" s="617">
        <v>133204.87565296295</v>
      </c>
      <c r="X445" s="617">
        <v>136394.91949805882</v>
      </c>
      <c r="Y445" s="617">
        <v>139584.9633431547</v>
      </c>
      <c r="Z445" s="617">
        <v>142775.00718825057</v>
      </c>
      <c r="AA445" s="617">
        <v>145965.05103334645</v>
      </c>
      <c r="AB445" s="304">
        <v>149155.09487844232</v>
      </c>
      <c r="AC445" s="304"/>
      <c r="AD445" s="304"/>
      <c r="AE445" s="304"/>
      <c r="AF445" s="304"/>
      <c r="AG445" s="304"/>
      <c r="AH445" s="304"/>
      <c r="AI445" s="304"/>
      <c r="AJ445" s="304"/>
      <c r="AK445" s="304"/>
      <c r="AL445" s="304"/>
      <c r="AM445" s="304"/>
      <c r="AN445" s="304"/>
      <c r="AO445" s="304"/>
      <c r="AP445" s="163"/>
    </row>
    <row r="446" spans="2:42" x14ac:dyDescent="0.3">
      <c r="B446" s="6"/>
      <c r="C446" s="6"/>
      <c r="D446" s="6">
        <f t="shared" si="28"/>
        <v>11</v>
      </c>
      <c r="E446" s="638" t="str">
        <f t="shared" si="32"/>
        <v>Distribution Capacity</v>
      </c>
      <c r="F446" s="303"/>
      <c r="G446" s="304"/>
      <c r="H446" s="304"/>
      <c r="I446" s="304">
        <v>38009.158190294707</v>
      </c>
      <c r="J446" s="304">
        <v>39156.641618414375</v>
      </c>
      <c r="K446" s="304">
        <v>31519.894789544327</v>
      </c>
      <c r="L446" s="617">
        <v>31722.30117547539</v>
      </c>
      <c r="M446" s="617">
        <v>32694.663098608878</v>
      </c>
      <c r="N446" s="617">
        <v>32658.859733258905</v>
      </c>
      <c r="O446" s="617">
        <v>32623.056367908935</v>
      </c>
      <c r="P446" s="617">
        <v>32587.253002558962</v>
      </c>
      <c r="Q446" s="617">
        <v>32551.449637208992</v>
      </c>
      <c r="R446" s="617">
        <v>32515.646271859019</v>
      </c>
      <c r="S446" s="617">
        <v>32810.092650289567</v>
      </c>
      <c r="T446" s="617">
        <v>33104.539028720115</v>
      </c>
      <c r="U446" s="617">
        <v>33398.985407150663</v>
      </c>
      <c r="V446" s="617">
        <v>33693.431785581211</v>
      </c>
      <c r="W446" s="617">
        <v>33987.87816401176</v>
      </c>
      <c r="X446" s="617">
        <v>34490.443278377395</v>
      </c>
      <c r="Y446" s="617">
        <v>34993.008392743031</v>
      </c>
      <c r="Z446" s="617">
        <v>35495.57350710866</v>
      </c>
      <c r="AA446" s="617">
        <v>35998.138621474296</v>
      </c>
      <c r="AB446" s="304">
        <v>36500.703735839932</v>
      </c>
      <c r="AC446" s="304"/>
      <c r="AD446" s="304"/>
      <c r="AE446" s="304"/>
      <c r="AF446" s="304"/>
      <c r="AG446" s="304"/>
      <c r="AH446" s="304"/>
      <c r="AI446" s="304"/>
      <c r="AJ446" s="304"/>
      <c r="AK446" s="304"/>
      <c r="AL446" s="304"/>
      <c r="AM446" s="304"/>
      <c r="AN446" s="304"/>
      <c r="AO446" s="304"/>
      <c r="AP446" s="163"/>
    </row>
    <row r="447" spans="2:42" x14ac:dyDescent="0.3">
      <c r="B447" s="6"/>
      <c r="C447" s="6"/>
      <c r="D447" s="6">
        <f t="shared" si="28"/>
        <v>11</v>
      </c>
      <c r="E447" s="638" t="str">
        <f t="shared" si="32"/>
        <v>GHG Impacts</v>
      </c>
      <c r="F447" s="303"/>
      <c r="G447" s="304"/>
      <c r="H447" s="304"/>
      <c r="I447" s="304">
        <v>322089.39776894799</v>
      </c>
      <c r="J447" s="304">
        <v>364916.67664253362</v>
      </c>
      <c r="K447" s="304">
        <v>141115.75893307821</v>
      </c>
      <c r="L447" s="617">
        <v>170771.31660833297</v>
      </c>
      <c r="M447" s="617">
        <v>209722.25790890789</v>
      </c>
      <c r="N447" s="617">
        <v>236813.34495312546</v>
      </c>
      <c r="O447" s="617">
        <v>263904.43199734302</v>
      </c>
      <c r="P447" s="617">
        <v>290995.51904156059</v>
      </c>
      <c r="Q447" s="617">
        <v>318086.60608577821</v>
      </c>
      <c r="R447" s="617">
        <v>345177.69312999578</v>
      </c>
      <c r="S447" s="617">
        <v>373805.19354314334</v>
      </c>
      <c r="T447" s="617">
        <v>402432.6939562909</v>
      </c>
      <c r="U447" s="617">
        <v>431060.19436943845</v>
      </c>
      <c r="V447" s="617">
        <v>459687.69478258607</v>
      </c>
      <c r="W447" s="617">
        <v>488315.19519573363</v>
      </c>
      <c r="X447" s="617">
        <v>525911.05525972054</v>
      </c>
      <c r="Y447" s="617">
        <v>563506.91532370751</v>
      </c>
      <c r="Z447" s="617">
        <v>601102.77538769448</v>
      </c>
      <c r="AA447" s="617">
        <v>638698.63545168145</v>
      </c>
      <c r="AB447" s="304">
        <v>676294.49551566842</v>
      </c>
      <c r="AC447" s="304"/>
      <c r="AD447" s="304"/>
      <c r="AE447" s="304"/>
      <c r="AF447" s="304"/>
      <c r="AG447" s="304"/>
      <c r="AH447" s="304"/>
      <c r="AI447" s="304"/>
      <c r="AJ447" s="304"/>
      <c r="AK447" s="304"/>
      <c r="AL447" s="304"/>
      <c r="AM447" s="304"/>
      <c r="AN447" s="304"/>
      <c r="AO447" s="304"/>
      <c r="AP447" s="163"/>
    </row>
    <row r="448" spans="2:42" x14ac:dyDescent="0.3">
      <c r="B448" s="6"/>
      <c r="C448" s="6"/>
      <c r="D448" s="6">
        <f t="shared" si="28"/>
        <v>11</v>
      </c>
      <c r="E448" s="638" t="str">
        <f t="shared" si="32"/>
        <v>Market Price Effects - Wholesale Energy</v>
      </c>
      <c r="F448" s="303"/>
      <c r="G448" s="304"/>
      <c r="H448" s="304"/>
      <c r="I448" s="304">
        <v>15578.381410318381</v>
      </c>
      <c r="J448" s="304">
        <v>27251.982104437579</v>
      </c>
      <c r="K448" s="304">
        <v>57165.744693106848</v>
      </c>
      <c r="L448" s="617">
        <v>58982.439854536438</v>
      </c>
      <c r="M448" s="617">
        <v>83205.802002400829</v>
      </c>
      <c r="N448" s="617">
        <v>76241.43110469263</v>
      </c>
      <c r="O448" s="617">
        <v>69277.060206984446</v>
      </c>
      <c r="P448" s="617">
        <v>62312.689309276248</v>
      </c>
      <c r="Q448" s="617">
        <v>55348.318411568056</v>
      </c>
      <c r="R448" s="617">
        <v>48383.947513859865</v>
      </c>
      <c r="S448" s="617">
        <v>59826.35935294794</v>
      </c>
      <c r="T448" s="617">
        <v>71268.771192036016</v>
      </c>
      <c r="U448" s="617">
        <v>82711.183031124106</v>
      </c>
      <c r="V448" s="617">
        <v>94153.594870212182</v>
      </c>
      <c r="W448" s="617">
        <v>105596.00670930026</v>
      </c>
      <c r="X448" s="617">
        <v>111857.6512101757</v>
      </c>
      <c r="Y448" s="617">
        <v>118119.29571105113</v>
      </c>
      <c r="Z448" s="617">
        <v>124380.94021192656</v>
      </c>
      <c r="AA448" s="617">
        <v>130642.584712802</v>
      </c>
      <c r="AB448" s="304">
        <v>136904.22921367743</v>
      </c>
      <c r="AC448" s="304"/>
      <c r="AD448" s="304"/>
      <c r="AE448" s="304"/>
      <c r="AF448" s="304"/>
      <c r="AG448" s="304"/>
      <c r="AH448" s="304"/>
      <c r="AI448" s="304"/>
      <c r="AJ448" s="304"/>
      <c r="AK448" s="304"/>
      <c r="AL448" s="304"/>
      <c r="AM448" s="304"/>
      <c r="AN448" s="304"/>
      <c r="AO448" s="304"/>
      <c r="AP448" s="163"/>
    </row>
    <row r="449" spans="2:42" x14ac:dyDescent="0.3">
      <c r="B449" s="6"/>
      <c r="C449" s="6"/>
      <c r="D449" s="6">
        <f t="shared" si="28"/>
        <v>11</v>
      </c>
      <c r="E449" s="638" t="str">
        <f t="shared" si="32"/>
        <v>Market Price Effects - Wholesale Capacity</v>
      </c>
      <c r="F449" s="303"/>
      <c r="G449" s="304"/>
      <c r="H449" s="304"/>
      <c r="I449" s="304">
        <v>0</v>
      </c>
      <c r="J449" s="304">
        <v>0</v>
      </c>
      <c r="K449" s="304">
        <v>0</v>
      </c>
      <c r="L449" s="617">
        <v>0</v>
      </c>
      <c r="M449" s="617">
        <v>0</v>
      </c>
      <c r="N449" s="617">
        <v>0</v>
      </c>
      <c r="O449" s="617">
        <v>0</v>
      </c>
      <c r="P449" s="617">
        <v>0</v>
      </c>
      <c r="Q449" s="617">
        <v>0</v>
      </c>
      <c r="R449" s="617">
        <v>0</v>
      </c>
      <c r="S449" s="617">
        <v>0</v>
      </c>
      <c r="T449" s="617">
        <v>0</v>
      </c>
      <c r="U449" s="617">
        <v>0</v>
      </c>
      <c r="V449" s="617">
        <v>0</v>
      </c>
      <c r="W449" s="617">
        <v>0</v>
      </c>
      <c r="X449" s="617">
        <v>0</v>
      </c>
      <c r="Y449" s="617">
        <v>0</v>
      </c>
      <c r="Z449" s="617">
        <v>0</v>
      </c>
      <c r="AA449" s="617">
        <v>0</v>
      </c>
      <c r="AB449" s="304">
        <v>0</v>
      </c>
      <c r="AC449" s="304"/>
      <c r="AD449" s="304"/>
      <c r="AE449" s="304"/>
      <c r="AF449" s="304"/>
      <c r="AG449" s="304"/>
      <c r="AH449" s="304"/>
      <c r="AI449" s="304"/>
      <c r="AJ449" s="304"/>
      <c r="AK449" s="304"/>
      <c r="AL449" s="304"/>
      <c r="AM449" s="304"/>
      <c r="AN449" s="304"/>
      <c r="AO449" s="304"/>
      <c r="AP449" s="163"/>
    </row>
    <row r="450" spans="2:42" x14ac:dyDescent="0.3">
      <c r="B450" s="6"/>
      <c r="C450" s="6"/>
      <c r="D450" s="6">
        <f t="shared" si="28"/>
        <v>11</v>
      </c>
      <c r="E450" s="639" t="str">
        <f t="shared" si="32"/>
        <v>Avoided Cost of Participant Backup Generator</v>
      </c>
      <c r="F450" s="303"/>
      <c r="G450" s="303"/>
      <c r="H450" s="310"/>
      <c r="I450" s="303"/>
      <c r="J450" s="303"/>
      <c r="K450" s="303"/>
      <c r="L450" s="303"/>
      <c r="M450" s="303"/>
      <c r="N450" s="303"/>
      <c r="O450" s="303"/>
      <c r="P450" s="303"/>
      <c r="Q450" s="303"/>
      <c r="R450" s="303"/>
      <c r="S450" s="303"/>
      <c r="T450" s="303"/>
      <c r="U450" s="303"/>
      <c r="V450" s="303"/>
      <c r="W450" s="303"/>
      <c r="X450" s="303"/>
      <c r="Y450" s="303"/>
      <c r="Z450" s="303"/>
      <c r="AA450" s="303"/>
      <c r="AB450" s="303"/>
      <c r="AC450" s="303"/>
      <c r="AD450" s="303"/>
      <c r="AE450" s="303"/>
      <c r="AF450" s="303"/>
      <c r="AG450" s="303"/>
      <c r="AH450" s="303"/>
      <c r="AI450" s="303"/>
      <c r="AJ450" s="303"/>
      <c r="AK450" s="303"/>
      <c r="AL450" s="303"/>
      <c r="AM450" s="303"/>
      <c r="AN450" s="303"/>
      <c r="AO450" s="303"/>
      <c r="AP450" s="163"/>
    </row>
    <row r="451" spans="2:42" x14ac:dyDescent="0.3">
      <c r="B451" s="6"/>
      <c r="C451" s="6"/>
      <c r="D451" s="6">
        <f t="shared" si="28"/>
        <v>11</v>
      </c>
      <c r="E451" s="640" t="str">
        <f t="shared" si="32"/>
        <v>Full Eq DoD Cycle</v>
      </c>
      <c r="F451" s="303"/>
      <c r="G451" s="303"/>
      <c r="H451" s="310"/>
      <c r="I451" s="308">
        <v>365</v>
      </c>
      <c r="J451" s="308">
        <v>365</v>
      </c>
      <c r="K451" s="308">
        <v>365</v>
      </c>
      <c r="L451" s="618">
        <v>365</v>
      </c>
      <c r="M451" s="618">
        <v>365</v>
      </c>
      <c r="N451" s="618">
        <v>365</v>
      </c>
      <c r="O451" s="618">
        <v>365</v>
      </c>
      <c r="P451" s="618">
        <v>365</v>
      </c>
      <c r="Q451" s="618">
        <v>365</v>
      </c>
      <c r="R451" s="618">
        <v>365</v>
      </c>
      <c r="S451" s="618">
        <v>365</v>
      </c>
      <c r="T451" s="618">
        <v>365</v>
      </c>
      <c r="U451" s="618">
        <v>365</v>
      </c>
      <c r="V451" s="618">
        <v>365</v>
      </c>
      <c r="W451" s="618">
        <v>365</v>
      </c>
      <c r="X451" s="618">
        <v>365</v>
      </c>
      <c r="Y451" s="618">
        <v>365</v>
      </c>
      <c r="Z451" s="618">
        <v>365</v>
      </c>
      <c r="AA451" s="618">
        <v>365</v>
      </c>
      <c r="AB451" s="308">
        <v>365</v>
      </c>
      <c r="AC451" s="309"/>
      <c r="AD451" s="309"/>
      <c r="AE451" s="309"/>
      <c r="AF451" s="309"/>
      <c r="AG451" s="309"/>
      <c r="AH451" s="309"/>
      <c r="AI451" s="309"/>
      <c r="AJ451" s="309"/>
      <c r="AK451" s="309"/>
      <c r="AL451" s="309"/>
      <c r="AM451" s="309"/>
      <c r="AN451" s="309"/>
      <c r="AO451" s="309"/>
      <c r="AP451" s="163"/>
    </row>
    <row r="452" spans="2:42" x14ac:dyDescent="0.3">
      <c r="B452" s="6"/>
      <c r="C452" s="6"/>
      <c r="D452" s="6">
        <f t="shared" si="28"/>
        <v>11</v>
      </c>
      <c r="E452" s="640" t="str">
        <f t="shared" si="32"/>
        <v>Export MWh</v>
      </c>
      <c r="F452" s="303"/>
      <c r="G452" s="303"/>
      <c r="H452" s="310"/>
      <c r="I452" s="308"/>
      <c r="J452" s="308"/>
      <c r="K452" s="308"/>
      <c r="L452" s="618"/>
      <c r="M452" s="618"/>
      <c r="N452" s="618"/>
      <c r="O452" s="618"/>
      <c r="P452" s="618"/>
      <c r="Q452" s="618"/>
      <c r="R452" s="618"/>
      <c r="S452" s="618"/>
      <c r="T452" s="618"/>
      <c r="U452" s="618"/>
      <c r="V452" s="618"/>
      <c r="W452" s="618"/>
      <c r="X452" s="618"/>
      <c r="Y452" s="618"/>
      <c r="Z452" s="618"/>
      <c r="AA452" s="618"/>
      <c r="AB452" s="308"/>
      <c r="AC452" s="309"/>
      <c r="AD452" s="309"/>
      <c r="AE452" s="309"/>
      <c r="AF452" s="309"/>
      <c r="AG452" s="309"/>
      <c r="AH452" s="309"/>
      <c r="AI452" s="309"/>
      <c r="AJ452" s="309"/>
      <c r="AK452" s="309"/>
      <c r="AL452" s="309"/>
      <c r="AM452" s="309"/>
      <c r="AN452" s="309"/>
      <c r="AO452" s="309"/>
      <c r="AP452" s="163"/>
    </row>
    <row r="453" spans="2:42" x14ac:dyDescent="0.3">
      <c r="B453" s="6"/>
      <c r="C453" s="6"/>
      <c r="D453" s="6">
        <f t="shared" si="28"/>
        <v>11</v>
      </c>
      <c r="E453" s="640" t="str">
        <f t="shared" si="32"/>
        <v>Charge MWh</v>
      </c>
      <c r="F453" s="303"/>
      <c r="G453" s="303"/>
      <c r="H453" s="310"/>
      <c r="I453" s="311"/>
      <c r="J453" s="311"/>
      <c r="K453" s="311"/>
      <c r="L453" s="619"/>
      <c r="M453" s="619"/>
      <c r="N453" s="619"/>
      <c r="O453" s="619"/>
      <c r="P453" s="619"/>
      <c r="Q453" s="619"/>
      <c r="R453" s="619"/>
      <c r="S453" s="619"/>
      <c r="T453" s="619"/>
      <c r="U453" s="619"/>
      <c r="V453" s="619"/>
      <c r="W453" s="619"/>
      <c r="X453" s="619"/>
      <c r="Y453" s="619"/>
      <c r="Z453" s="619"/>
      <c r="AA453" s="619"/>
      <c r="AB453" s="311"/>
      <c r="AC453" s="313"/>
      <c r="AD453" s="313"/>
      <c r="AE453" s="313"/>
      <c r="AF453" s="313"/>
      <c r="AG453" s="313"/>
      <c r="AH453" s="313"/>
      <c r="AI453" s="313"/>
      <c r="AJ453" s="313"/>
      <c r="AK453" s="313"/>
      <c r="AL453" s="313"/>
      <c r="AM453" s="313"/>
      <c r="AN453" s="313"/>
      <c r="AO453" s="313"/>
      <c r="AP453" s="163"/>
    </row>
    <row r="454" spans="2:42" x14ac:dyDescent="0.3">
      <c r="B454" s="6"/>
      <c r="C454" s="6"/>
      <c r="D454" s="6">
        <f t="shared" si="28"/>
        <v>11</v>
      </c>
      <c r="E454" s="641" t="str">
        <f t="shared" si="32"/>
        <v>Total ESS Charge MWh</v>
      </c>
      <c r="F454" s="303"/>
      <c r="G454" s="303"/>
      <c r="H454" s="310"/>
      <c r="I454" s="308">
        <v>4294.1176470588089</v>
      </c>
      <c r="J454" s="308">
        <v>4294.117647058818</v>
      </c>
      <c r="K454" s="308">
        <v>4294.1176471869367</v>
      </c>
      <c r="L454" s="618">
        <v>4294.117647058858</v>
      </c>
      <c r="M454" s="618">
        <v>4294.1176407249113</v>
      </c>
      <c r="N454" s="618">
        <v>4294.1176408717183</v>
      </c>
      <c r="O454" s="618">
        <v>4294.1176410185253</v>
      </c>
      <c r="P454" s="618">
        <v>4294.1176411653314</v>
      </c>
      <c r="Q454" s="618">
        <v>4294.1176413121384</v>
      </c>
      <c r="R454" s="618">
        <v>4294.1176414589454</v>
      </c>
      <c r="S454" s="618">
        <v>4294.1176422951494</v>
      </c>
      <c r="T454" s="618">
        <v>4294.1176431313543</v>
      </c>
      <c r="U454" s="618">
        <v>4294.1176439675583</v>
      </c>
      <c r="V454" s="618">
        <v>4294.1176448037631</v>
      </c>
      <c r="W454" s="618">
        <v>4294.1176456399671</v>
      </c>
      <c r="X454" s="618">
        <v>4294.1176456720823</v>
      </c>
      <c r="Y454" s="618">
        <v>4294.1176457041984</v>
      </c>
      <c r="Z454" s="618">
        <v>4294.1176457363135</v>
      </c>
      <c r="AA454" s="618">
        <v>4294.1176457684296</v>
      </c>
      <c r="AB454" s="308">
        <v>4294.1176458005448</v>
      </c>
      <c r="AC454" s="309"/>
      <c r="AD454" s="309"/>
      <c r="AE454" s="309"/>
      <c r="AF454" s="309"/>
      <c r="AG454" s="309"/>
      <c r="AH454" s="309"/>
      <c r="AI454" s="309"/>
      <c r="AJ454" s="309"/>
      <c r="AK454" s="309"/>
      <c r="AL454" s="309"/>
      <c r="AM454" s="309"/>
      <c r="AN454" s="309"/>
      <c r="AO454" s="309"/>
      <c r="AP454" s="163"/>
    </row>
    <row r="455" spans="2:42" x14ac:dyDescent="0.3">
      <c r="B455" s="6"/>
      <c r="C455" s="6"/>
      <c r="D455" s="6">
        <f t="shared" ref="D455:D518" si="33">D415+1</f>
        <v>11</v>
      </c>
      <c r="E455" s="642" t="str">
        <f t="shared" si="32"/>
        <v>Avg Generation Capacity</v>
      </c>
      <c r="F455" s="303"/>
      <c r="G455" s="303"/>
      <c r="H455" s="310"/>
      <c r="I455" s="308">
        <v>0</v>
      </c>
      <c r="J455" s="308">
        <v>0</v>
      </c>
      <c r="K455" s="308">
        <v>1.7112275645917455E-2</v>
      </c>
      <c r="L455" s="308">
        <v>5.0000000000000001E-4</v>
      </c>
      <c r="M455" s="308">
        <v>0</v>
      </c>
      <c r="N455" s="308">
        <v>4.0000000000000002E-4</v>
      </c>
      <c r="O455" s="308">
        <v>8.0000000000000004E-4</v>
      </c>
      <c r="P455" s="308">
        <v>1.1999999999999999E-3</v>
      </c>
      <c r="Q455" s="308">
        <v>1.6000000000000001E-3</v>
      </c>
      <c r="R455" s="308">
        <v>2E-3</v>
      </c>
      <c r="S455" s="308">
        <v>1.6000000000000001E-3</v>
      </c>
      <c r="T455" s="308">
        <v>1.2000000000000001E-3</v>
      </c>
      <c r="U455" s="308">
        <v>8.0000000000000015E-4</v>
      </c>
      <c r="V455" s="308">
        <v>3.3333333333333338E-4</v>
      </c>
      <c r="W455" s="308">
        <v>0</v>
      </c>
      <c r="X455" s="308">
        <v>0</v>
      </c>
      <c r="Y455" s="308">
        <v>0</v>
      </c>
      <c r="Z455" s="308">
        <v>0</v>
      </c>
      <c r="AA455" s="308">
        <v>0</v>
      </c>
      <c r="AB455" s="308">
        <v>0</v>
      </c>
      <c r="AC455" s="309"/>
      <c r="AD455" s="309"/>
      <c r="AE455" s="309"/>
      <c r="AF455" s="309"/>
      <c r="AG455" s="309"/>
      <c r="AH455" s="309"/>
      <c r="AI455" s="309"/>
      <c r="AJ455" s="309"/>
      <c r="AK455" s="309"/>
      <c r="AL455" s="309"/>
      <c r="AM455" s="309"/>
      <c r="AN455" s="309"/>
      <c r="AO455" s="309"/>
      <c r="AP455" s="163"/>
    </row>
    <row r="456" spans="2:42" x14ac:dyDescent="0.3">
      <c r="B456" s="6"/>
      <c r="C456" s="6"/>
      <c r="D456" s="6">
        <f t="shared" si="33"/>
        <v>11</v>
      </c>
      <c r="E456" s="642" t="str">
        <f t="shared" si="32"/>
        <v>Avg Transmission Capacity</v>
      </c>
      <c r="F456" s="303"/>
      <c r="G456" s="303"/>
      <c r="H456" s="310"/>
      <c r="I456" s="308">
        <v>0</v>
      </c>
      <c r="J456" s="308">
        <v>0</v>
      </c>
      <c r="K456" s="308">
        <v>1.7112275645917455E-2</v>
      </c>
      <c r="L456" s="308">
        <v>5.0000000000000001E-4</v>
      </c>
      <c r="M456" s="308">
        <v>0</v>
      </c>
      <c r="N456" s="308">
        <v>4.0000000000000002E-4</v>
      </c>
      <c r="O456" s="308">
        <v>8.0000000000000004E-4</v>
      </c>
      <c r="P456" s="308">
        <v>1.1999999999999999E-3</v>
      </c>
      <c r="Q456" s="308">
        <v>1.6000000000000001E-3</v>
      </c>
      <c r="R456" s="308">
        <v>2E-3</v>
      </c>
      <c r="S456" s="308">
        <v>1.6000000000000001E-3</v>
      </c>
      <c r="T456" s="308">
        <v>1.2000000000000001E-3</v>
      </c>
      <c r="U456" s="308">
        <v>8.0000000000000015E-4</v>
      </c>
      <c r="V456" s="308">
        <v>3.3333333333333338E-4</v>
      </c>
      <c r="W456" s="308">
        <v>0</v>
      </c>
      <c r="X456" s="308">
        <v>0</v>
      </c>
      <c r="Y456" s="308">
        <v>0</v>
      </c>
      <c r="Z456" s="308">
        <v>0</v>
      </c>
      <c r="AA456" s="308">
        <v>0</v>
      </c>
      <c r="AB456" s="308">
        <v>0</v>
      </c>
      <c r="AC456" s="309"/>
      <c r="AD456" s="309"/>
      <c r="AE456" s="309"/>
      <c r="AF456" s="309"/>
      <c r="AG456" s="309"/>
      <c r="AH456" s="309"/>
      <c r="AI456" s="309"/>
      <c r="AJ456" s="309"/>
      <c r="AK456" s="309"/>
      <c r="AL456" s="309"/>
      <c r="AM456" s="309"/>
      <c r="AN456" s="309"/>
      <c r="AO456" s="309"/>
      <c r="AP456" s="163"/>
    </row>
    <row r="457" spans="2:42" x14ac:dyDescent="0.3">
      <c r="B457" s="6"/>
      <c r="C457" s="6"/>
      <c r="D457" s="6">
        <f t="shared" si="33"/>
        <v>11</v>
      </c>
      <c r="E457" s="642" t="str">
        <f t="shared" si="32"/>
        <v>Avg Distribution Capacity</v>
      </c>
      <c r="F457" s="303"/>
      <c r="G457" s="303"/>
      <c r="H457" s="310"/>
      <c r="I457" s="308">
        <v>0</v>
      </c>
      <c r="J457" s="308">
        <v>0</v>
      </c>
      <c r="K457" s="308">
        <v>2.6916197214544905E-2</v>
      </c>
      <c r="L457" s="618">
        <v>5.0499999999999996E-2</v>
      </c>
      <c r="M457" s="618">
        <v>0</v>
      </c>
      <c r="N457" s="618">
        <v>1.0399999999999998E-2</v>
      </c>
      <c r="O457" s="618">
        <v>2.0799999999999996E-2</v>
      </c>
      <c r="P457" s="618">
        <v>3.1199999999999992E-2</v>
      </c>
      <c r="Q457" s="618">
        <v>4.1599999999999991E-2</v>
      </c>
      <c r="R457" s="618">
        <v>5.1999999999999991E-2</v>
      </c>
      <c r="S457" s="618">
        <v>4.2425102719102104E-2</v>
      </c>
      <c r="T457" s="618">
        <v>3.2850205438204216E-2</v>
      </c>
      <c r="U457" s="618">
        <v>2.3275308157306326E-2</v>
      </c>
      <c r="V457" s="618">
        <v>1.1417009063673701E-2</v>
      </c>
      <c r="W457" s="618">
        <v>3.4379279962587967E-3</v>
      </c>
      <c r="X457" s="618">
        <v>1.1544382216052636E-2</v>
      </c>
      <c r="Y457" s="618">
        <v>1.9650836435846475E-2</v>
      </c>
      <c r="Z457" s="618">
        <v>2.7757290655640317E-2</v>
      </c>
      <c r="AA457" s="618">
        <v>3.5863744875434159E-2</v>
      </c>
      <c r="AB457" s="308">
        <v>4.3970199095227994E-2</v>
      </c>
      <c r="AC457" s="309"/>
      <c r="AD457" s="309"/>
      <c r="AE457" s="309"/>
      <c r="AF457" s="309"/>
      <c r="AG457" s="309"/>
      <c r="AH457" s="309"/>
      <c r="AI457" s="309"/>
      <c r="AJ457" s="309"/>
      <c r="AK457" s="309"/>
      <c r="AL457" s="309"/>
      <c r="AM457" s="309"/>
      <c r="AN457" s="309"/>
      <c r="AO457" s="309"/>
      <c r="AP457" s="163"/>
    </row>
    <row r="458" spans="2:42" x14ac:dyDescent="0.3">
      <c r="B458" s="6"/>
      <c r="C458" s="6"/>
      <c r="D458" s="6">
        <f t="shared" si="33"/>
        <v>11</v>
      </c>
      <c r="E458" s="642" t="str">
        <f t="shared" si="32"/>
        <v>GHG Impacts</v>
      </c>
      <c r="F458" s="303"/>
      <c r="G458" s="303"/>
      <c r="H458" s="310"/>
      <c r="I458" s="308">
        <v>4291.4839245416206</v>
      </c>
      <c r="J458" s="308">
        <v>4272.264998259524</v>
      </c>
      <c r="K458" s="308">
        <v>4227.8700167726429</v>
      </c>
      <c r="L458" s="618">
        <v>4085.3476863740339</v>
      </c>
      <c r="M458" s="618">
        <v>3784.2825164457186</v>
      </c>
      <c r="N458" s="618">
        <v>3474.1298308641108</v>
      </c>
      <c r="O458" s="618">
        <v>3163.977145282503</v>
      </c>
      <c r="P458" s="618">
        <v>2853.8244597008952</v>
      </c>
      <c r="Q458" s="618">
        <v>2543.6717741192874</v>
      </c>
      <c r="R458" s="618">
        <v>2233.5190885376796</v>
      </c>
      <c r="S458" s="618">
        <v>2058.7946029460932</v>
      </c>
      <c r="T458" s="618">
        <v>1884.0701173545071</v>
      </c>
      <c r="U458" s="618">
        <v>1709.3456317629207</v>
      </c>
      <c r="V458" s="618">
        <v>1534.6211461713344</v>
      </c>
      <c r="W458" s="618">
        <v>1359.8966605797482</v>
      </c>
      <c r="X458" s="618">
        <v>1226.550556175052</v>
      </c>
      <c r="Y458" s="618">
        <v>1093.2044517703555</v>
      </c>
      <c r="Z458" s="618">
        <v>959.85834736565926</v>
      </c>
      <c r="AA458" s="618">
        <v>826.51224296096291</v>
      </c>
      <c r="AB458" s="308">
        <v>693.16613855626656</v>
      </c>
      <c r="AC458" s="309"/>
      <c r="AD458" s="309"/>
      <c r="AE458" s="309"/>
      <c r="AF458" s="309"/>
      <c r="AG458" s="309"/>
      <c r="AH458" s="309"/>
      <c r="AI458" s="309"/>
      <c r="AJ458" s="309"/>
      <c r="AK458" s="309"/>
      <c r="AL458" s="309"/>
      <c r="AM458" s="309"/>
      <c r="AN458" s="309"/>
      <c r="AO458" s="309"/>
      <c r="AP458" s="163"/>
    </row>
    <row r="459" spans="2:42" x14ac:dyDescent="0.3">
      <c r="B459" s="6"/>
      <c r="C459" s="6"/>
      <c r="D459" s="6">
        <f t="shared" si="33"/>
        <v>11</v>
      </c>
      <c r="E459" s="642" t="str">
        <f t="shared" si="32"/>
        <v>Market Price Effects - Wholesale Energy</v>
      </c>
      <c r="F459" s="303"/>
      <c r="G459" s="303"/>
      <c r="H459" s="310"/>
      <c r="I459" s="308">
        <v>4294.1176470588252</v>
      </c>
      <c r="J459" s="308">
        <v>4294.1176470588171</v>
      </c>
      <c r="K459" s="308">
        <v>4294.1176471869303</v>
      </c>
      <c r="L459" s="618">
        <v>4294.1176470588462</v>
      </c>
      <c r="M459" s="618">
        <v>4294.1176407249177</v>
      </c>
      <c r="N459" s="618">
        <v>4294.1176408717211</v>
      </c>
      <c r="O459" s="618">
        <v>4294.1176410185244</v>
      </c>
      <c r="P459" s="618">
        <v>4294.1176411653269</v>
      </c>
      <c r="Q459" s="618">
        <v>4294.1176413121302</v>
      </c>
      <c r="R459" s="618">
        <v>4294.1176414589336</v>
      </c>
      <c r="S459" s="618">
        <v>4294.1176422951348</v>
      </c>
      <c r="T459" s="618">
        <v>4294.1176431313361</v>
      </c>
      <c r="U459" s="618">
        <v>4294.1176439675373</v>
      </c>
      <c r="V459" s="618">
        <v>4294.1176448037386</v>
      </c>
      <c r="W459" s="618">
        <v>4294.1176456399398</v>
      </c>
      <c r="X459" s="618">
        <v>4294.1176456720623</v>
      </c>
      <c r="Y459" s="618">
        <v>4294.1176457041847</v>
      </c>
      <c r="Z459" s="618">
        <v>4294.1176457363072</v>
      </c>
      <c r="AA459" s="618">
        <v>4294.1176457684296</v>
      </c>
      <c r="AB459" s="308">
        <v>4294.1176458005521</v>
      </c>
      <c r="AC459" s="309"/>
      <c r="AD459" s="309"/>
      <c r="AE459" s="309"/>
      <c r="AF459" s="309"/>
      <c r="AG459" s="309"/>
      <c r="AH459" s="309"/>
      <c r="AI459" s="309"/>
      <c r="AJ459" s="309"/>
      <c r="AK459" s="309"/>
      <c r="AL459" s="309"/>
      <c r="AM459" s="309"/>
      <c r="AN459" s="309"/>
      <c r="AO459" s="309"/>
      <c r="AP459" s="163"/>
    </row>
    <row r="460" spans="2:42" x14ac:dyDescent="0.3">
      <c r="B460" s="6"/>
      <c r="C460" s="6"/>
      <c r="D460" s="6">
        <f t="shared" si="33"/>
        <v>11</v>
      </c>
      <c r="E460" s="643" t="str">
        <f t="shared" si="32"/>
        <v>Market Price Effects - Wholesale Capacity</v>
      </c>
      <c r="F460" s="303"/>
      <c r="I460" s="308">
        <v>0</v>
      </c>
      <c r="J460" s="308">
        <v>0</v>
      </c>
      <c r="K460" s="308">
        <v>0</v>
      </c>
      <c r="L460" s="618">
        <v>0</v>
      </c>
      <c r="M460" s="618">
        <v>0</v>
      </c>
      <c r="N460" s="618">
        <v>0</v>
      </c>
      <c r="O460" s="618">
        <v>0</v>
      </c>
      <c r="P460" s="618">
        <v>0</v>
      </c>
      <c r="Q460" s="618">
        <v>0</v>
      </c>
      <c r="R460" s="618">
        <v>0</v>
      </c>
      <c r="S460" s="618">
        <v>0</v>
      </c>
      <c r="T460" s="618">
        <v>0</v>
      </c>
      <c r="U460" s="618">
        <v>0</v>
      </c>
      <c r="V460" s="618">
        <v>0</v>
      </c>
      <c r="W460" s="618">
        <v>0</v>
      </c>
      <c r="X460" s="618">
        <v>0</v>
      </c>
      <c r="Y460" s="618">
        <v>0</v>
      </c>
      <c r="Z460" s="618">
        <v>0</v>
      </c>
      <c r="AA460" s="618">
        <v>0</v>
      </c>
      <c r="AB460" s="308">
        <v>0</v>
      </c>
      <c r="AC460" s="309"/>
      <c r="AD460" s="309"/>
      <c r="AE460" s="309"/>
      <c r="AF460" s="309"/>
      <c r="AG460" s="309"/>
      <c r="AH460" s="309"/>
      <c r="AI460" s="309"/>
      <c r="AJ460" s="309"/>
      <c r="AK460" s="309"/>
      <c r="AL460" s="309"/>
      <c r="AM460" s="309"/>
      <c r="AN460" s="309"/>
      <c r="AO460" s="309"/>
      <c r="AP460" s="163"/>
    </row>
    <row r="461" spans="2:42" x14ac:dyDescent="0.3">
      <c r="B461" s="6"/>
      <c r="C461" s="6"/>
      <c r="D461" s="6">
        <f t="shared" si="33"/>
        <v>11</v>
      </c>
      <c r="E461" s="640" t="str">
        <f t="shared" si="32"/>
        <v>Disharge MWh</v>
      </c>
      <c r="I461" s="505"/>
      <c r="J461" s="505"/>
      <c r="K461" s="505"/>
      <c r="L461" s="505"/>
      <c r="M461" s="505"/>
      <c r="N461" s="505"/>
      <c r="O461" s="505"/>
      <c r="P461" s="505"/>
      <c r="Q461" s="505"/>
      <c r="R461" s="505"/>
      <c r="S461" s="505"/>
      <c r="T461" s="505"/>
      <c r="U461" s="505"/>
      <c r="V461" s="505"/>
      <c r="W461" s="505"/>
      <c r="X461" s="505"/>
      <c r="Y461" s="505"/>
      <c r="Z461" s="505"/>
      <c r="AA461" s="505"/>
      <c r="AB461" s="505"/>
      <c r="AC461" s="15"/>
      <c r="AD461" s="15"/>
      <c r="AE461" s="15"/>
      <c r="AF461" s="15"/>
      <c r="AG461" s="15"/>
      <c r="AH461" s="15"/>
      <c r="AI461" s="15"/>
      <c r="AJ461" s="15"/>
      <c r="AK461" s="15"/>
      <c r="AL461" s="15"/>
      <c r="AM461" s="15"/>
      <c r="AN461" s="15"/>
      <c r="AO461" s="15"/>
      <c r="AP461" s="163"/>
    </row>
    <row r="462" spans="2:42" x14ac:dyDescent="0.3">
      <c r="B462" s="6"/>
      <c r="C462" s="6"/>
      <c r="D462" s="6">
        <f t="shared" si="33"/>
        <v>11</v>
      </c>
      <c r="E462" s="641" t="str">
        <f t="shared" si="32"/>
        <v>Total ESS DCharge MWh</v>
      </c>
      <c r="I462" s="308">
        <v>3650.0000000000105</v>
      </c>
      <c r="J462" s="308">
        <v>3649.9999999999864</v>
      </c>
      <c r="K462" s="308">
        <v>3650.0000064208953</v>
      </c>
      <c r="L462" s="618">
        <v>3650.0000000000296</v>
      </c>
      <c r="M462" s="618">
        <v>3649.9999994553332</v>
      </c>
      <c r="N462" s="618">
        <v>3649.9999995642661</v>
      </c>
      <c r="O462" s="618">
        <v>3649.9999996731985</v>
      </c>
      <c r="P462" s="618">
        <v>3649.9999997821315</v>
      </c>
      <c r="Q462" s="618">
        <v>3649.9999998910639</v>
      </c>
      <c r="R462" s="618">
        <v>3649.9999999999968</v>
      </c>
      <c r="S462" s="618">
        <v>3650.0000002374145</v>
      </c>
      <c r="T462" s="618">
        <v>3650.0000004748322</v>
      </c>
      <c r="U462" s="618">
        <v>3650.0000007122503</v>
      </c>
      <c r="V462" s="618">
        <v>3650.000000949668</v>
      </c>
      <c r="W462" s="618">
        <v>3650.0000011870857</v>
      </c>
      <c r="X462" s="618">
        <v>3650.0000009496671</v>
      </c>
      <c r="Y462" s="618">
        <v>3650.000000712248</v>
      </c>
      <c r="Z462" s="618">
        <v>3650.0000004748294</v>
      </c>
      <c r="AA462" s="618">
        <v>3650.0000002374104</v>
      </c>
      <c r="AB462" s="308">
        <v>3649.9999999999918</v>
      </c>
      <c r="AC462" s="309"/>
      <c r="AD462" s="309"/>
      <c r="AE462" s="309"/>
      <c r="AF462" s="309"/>
      <c r="AG462" s="309"/>
      <c r="AH462" s="309"/>
      <c r="AI462" s="309"/>
      <c r="AJ462" s="309"/>
      <c r="AK462" s="309"/>
      <c r="AL462" s="309"/>
      <c r="AM462" s="309"/>
      <c r="AN462" s="309"/>
      <c r="AO462" s="309"/>
      <c r="AP462" s="163"/>
    </row>
    <row r="463" spans="2:42" x14ac:dyDescent="0.3">
      <c r="B463" s="6"/>
      <c r="C463" s="6"/>
      <c r="D463" s="6">
        <f t="shared" si="33"/>
        <v>11</v>
      </c>
      <c r="E463" s="642" t="str">
        <f t="shared" si="32"/>
        <v>Avg Generation Capacity</v>
      </c>
      <c r="F463" s="303"/>
      <c r="I463" s="308">
        <v>2.4775444592964937</v>
      </c>
      <c r="J463" s="308">
        <v>2.3975526961924047</v>
      </c>
      <c r="K463" s="308">
        <v>1.9856626527526908</v>
      </c>
      <c r="L463" s="618">
        <v>1.9960413232448622</v>
      </c>
      <c r="M463" s="618">
        <v>1.9950000000000001</v>
      </c>
      <c r="N463" s="618">
        <v>1.9959517355828851</v>
      </c>
      <c r="O463" s="618">
        <v>1.99690347116577</v>
      </c>
      <c r="P463" s="618">
        <v>1.997855206748655</v>
      </c>
      <c r="Q463" s="618">
        <v>1.99880694233154</v>
      </c>
      <c r="R463" s="618">
        <v>1.9997586779144252</v>
      </c>
      <c r="S463" s="618">
        <v>1.9996683045250725</v>
      </c>
      <c r="T463" s="618">
        <v>1.99957793113572</v>
      </c>
      <c r="U463" s="618">
        <v>1.9994875577463673</v>
      </c>
      <c r="V463" s="618">
        <v>1.6661643202975123</v>
      </c>
      <c r="W463" s="618">
        <v>1.6660890091397185</v>
      </c>
      <c r="X463" s="618">
        <v>1.6604101550807429</v>
      </c>
      <c r="Y463" s="618">
        <v>1.6547313010217672</v>
      </c>
      <c r="Z463" s="618">
        <v>1.6490524469627916</v>
      </c>
      <c r="AA463" s="618">
        <v>1.6433735929038162</v>
      </c>
      <c r="AB463" s="308">
        <v>1.6376947388448404</v>
      </c>
      <c r="AC463" s="309"/>
      <c r="AD463" s="309"/>
      <c r="AE463" s="309"/>
      <c r="AF463" s="309"/>
      <c r="AG463" s="309"/>
      <c r="AH463" s="309"/>
      <c r="AI463" s="309"/>
      <c r="AJ463" s="309"/>
      <c r="AK463" s="309"/>
      <c r="AL463" s="309"/>
      <c r="AM463" s="309"/>
      <c r="AN463" s="309"/>
      <c r="AO463" s="309"/>
      <c r="AP463" s="163"/>
    </row>
    <row r="464" spans="2:42" x14ac:dyDescent="0.3">
      <c r="B464" s="6"/>
      <c r="C464" s="6"/>
      <c r="D464" s="6">
        <f t="shared" si="33"/>
        <v>11</v>
      </c>
      <c r="E464" s="642" t="str">
        <f t="shared" si="32"/>
        <v>Avg Transmission Capacity</v>
      </c>
      <c r="F464" s="303"/>
      <c r="I464" s="308">
        <v>2.4775444592964937</v>
      </c>
      <c r="J464" s="308">
        <v>2.3975526961924047</v>
      </c>
      <c r="K464" s="308">
        <v>1.9856626527526908</v>
      </c>
      <c r="L464" s="618">
        <v>1.9960413232448622</v>
      </c>
      <c r="M464" s="618">
        <v>1.9950000000000001</v>
      </c>
      <c r="N464" s="618">
        <v>1.9959517355828851</v>
      </c>
      <c r="O464" s="618">
        <v>1.99690347116577</v>
      </c>
      <c r="P464" s="618">
        <v>1.997855206748655</v>
      </c>
      <c r="Q464" s="618">
        <v>1.99880694233154</v>
      </c>
      <c r="R464" s="618">
        <v>1.9997586779144252</v>
      </c>
      <c r="S464" s="618">
        <v>1.9996683045250725</v>
      </c>
      <c r="T464" s="618">
        <v>1.99957793113572</v>
      </c>
      <c r="U464" s="618">
        <v>1.9994875577463673</v>
      </c>
      <c r="V464" s="618">
        <v>1.6661643202975123</v>
      </c>
      <c r="W464" s="618">
        <v>1.6660890091397185</v>
      </c>
      <c r="X464" s="618">
        <v>1.6604101550807429</v>
      </c>
      <c r="Y464" s="618">
        <v>1.6547313010217672</v>
      </c>
      <c r="Z464" s="618">
        <v>1.6490524469627916</v>
      </c>
      <c r="AA464" s="618">
        <v>1.6433735929038162</v>
      </c>
      <c r="AB464" s="308">
        <v>1.6376947388448404</v>
      </c>
      <c r="AC464" s="309"/>
      <c r="AD464" s="309"/>
      <c r="AE464" s="309"/>
      <c r="AF464" s="309"/>
      <c r="AG464" s="309"/>
      <c r="AH464" s="309"/>
      <c r="AI464" s="309"/>
      <c r="AJ464" s="309"/>
      <c r="AK464" s="309"/>
      <c r="AL464" s="309"/>
      <c r="AM464" s="309"/>
      <c r="AN464" s="309"/>
      <c r="AO464" s="309"/>
      <c r="AP464" s="163"/>
    </row>
    <row r="465" spans="2:42" x14ac:dyDescent="0.3">
      <c r="B465" s="6"/>
      <c r="C465" s="6"/>
      <c r="D465" s="6">
        <f t="shared" si="33"/>
        <v>11</v>
      </c>
      <c r="E465" s="642" t="str">
        <f t="shared" si="32"/>
        <v>Avg Distribution Capacity</v>
      </c>
      <c r="F465" s="303"/>
      <c r="I465" s="308">
        <v>2.3016722992734646</v>
      </c>
      <c r="J465" s="308">
        <v>2.371158995273293</v>
      </c>
      <c r="K465" s="308">
        <v>1.9356264177853542</v>
      </c>
      <c r="L465" s="618">
        <v>1.9714670869123676</v>
      </c>
      <c r="M465" s="618">
        <v>1.9798491724386946</v>
      </c>
      <c r="N465" s="618">
        <v>1.9880810735338406</v>
      </c>
      <c r="O465" s="618">
        <v>1.9963129746289869</v>
      </c>
      <c r="P465" s="618">
        <v>2.0045448757241329</v>
      </c>
      <c r="Q465" s="618">
        <v>2.0127767768192792</v>
      </c>
      <c r="R465" s="618">
        <v>2.0210086779144252</v>
      </c>
      <c r="S465" s="618">
        <v>1.9965879515034004</v>
      </c>
      <c r="T465" s="618">
        <v>1.9721672250923756</v>
      </c>
      <c r="U465" s="618">
        <v>1.9477464986813506</v>
      </c>
      <c r="V465" s="618">
        <v>1.6027714768919383</v>
      </c>
      <c r="W465" s="618">
        <v>1.5824208715494177</v>
      </c>
      <c r="X465" s="618">
        <v>1.572446207282364</v>
      </c>
      <c r="Y465" s="618">
        <v>1.5624715430153102</v>
      </c>
      <c r="Z465" s="618">
        <v>1.5524968787482565</v>
      </c>
      <c r="AA465" s="618">
        <v>1.5425222144812027</v>
      </c>
      <c r="AB465" s="308">
        <v>1.5325475502141488</v>
      </c>
      <c r="AC465" s="309"/>
      <c r="AD465" s="309"/>
      <c r="AE465" s="309"/>
      <c r="AF465" s="309"/>
      <c r="AG465" s="309"/>
      <c r="AH465" s="309"/>
      <c r="AI465" s="309"/>
      <c r="AJ465" s="309"/>
      <c r="AK465" s="309"/>
      <c r="AL465" s="309"/>
      <c r="AM465" s="309"/>
      <c r="AN465" s="309"/>
      <c r="AO465" s="309"/>
      <c r="AP465" s="163"/>
    </row>
    <row r="466" spans="2:42" x14ac:dyDescent="0.3">
      <c r="B466" s="6"/>
      <c r="C466" s="6"/>
      <c r="D466" s="6">
        <f t="shared" si="33"/>
        <v>11</v>
      </c>
      <c r="E466" s="642" t="str">
        <f t="shared" si="32"/>
        <v>GHG Impacts</v>
      </c>
      <c r="F466" s="303"/>
      <c r="I466" s="308">
        <v>3650.0000000000009</v>
      </c>
      <c r="J466" s="308">
        <v>3649.9999999999945</v>
      </c>
      <c r="K466" s="308">
        <v>3650.0000064209053</v>
      </c>
      <c r="L466" s="618">
        <v>3650.0000000000196</v>
      </c>
      <c r="M466" s="618">
        <v>3649.6909328748793</v>
      </c>
      <c r="N466" s="618">
        <v>3649.4826189204359</v>
      </c>
      <c r="O466" s="618">
        <v>3649.2743049659925</v>
      </c>
      <c r="P466" s="618">
        <v>3649.0659910115487</v>
      </c>
      <c r="Q466" s="618">
        <v>3648.8576770571053</v>
      </c>
      <c r="R466" s="618">
        <v>3648.6493631026619</v>
      </c>
      <c r="S466" s="618">
        <v>3645.3521041275344</v>
      </c>
      <c r="T466" s="618">
        <v>3642.0548451524069</v>
      </c>
      <c r="U466" s="618">
        <v>3638.7575861772793</v>
      </c>
      <c r="V466" s="618">
        <v>3635.4603272021518</v>
      </c>
      <c r="W466" s="618">
        <v>3632.1630682270243</v>
      </c>
      <c r="X466" s="618">
        <v>3620.550951983244</v>
      </c>
      <c r="Y466" s="618">
        <v>3608.9388357394637</v>
      </c>
      <c r="Z466" s="618">
        <v>3597.3267194956834</v>
      </c>
      <c r="AA466" s="618">
        <v>3585.7146032519031</v>
      </c>
      <c r="AB466" s="308">
        <v>3574.1024870081228</v>
      </c>
      <c r="AC466" s="309"/>
      <c r="AD466" s="309"/>
      <c r="AE466" s="309"/>
      <c r="AF466" s="309"/>
      <c r="AG466" s="309"/>
      <c r="AH466" s="309"/>
      <c r="AI466" s="309"/>
      <c r="AJ466" s="309"/>
      <c r="AK466" s="309"/>
      <c r="AL466" s="309"/>
      <c r="AM466" s="309"/>
      <c r="AN466" s="309"/>
      <c r="AO466" s="309"/>
      <c r="AP466" s="163"/>
    </row>
    <row r="467" spans="2:42" x14ac:dyDescent="0.3">
      <c r="B467" s="6"/>
      <c r="C467" s="6"/>
      <c r="D467" s="6">
        <f t="shared" si="33"/>
        <v>11</v>
      </c>
      <c r="E467" s="642" t="str">
        <f t="shared" si="32"/>
        <v>Market Price Effects - Wholesale Energy</v>
      </c>
      <c r="F467" s="303"/>
      <c r="I467" s="308">
        <v>3650.0000000000009</v>
      </c>
      <c r="J467" s="308">
        <v>3649.9999999999945</v>
      </c>
      <c r="K467" s="308">
        <v>3650.0000064209048</v>
      </c>
      <c r="L467" s="618">
        <v>3650.0000000000196</v>
      </c>
      <c r="M467" s="618">
        <v>3649.9999994553368</v>
      </c>
      <c r="N467" s="618">
        <v>3649.9999995642684</v>
      </c>
      <c r="O467" s="618">
        <v>3649.9999996732004</v>
      </c>
      <c r="P467" s="618">
        <v>3649.9999997821319</v>
      </c>
      <c r="Q467" s="618">
        <v>3649.9999998910639</v>
      </c>
      <c r="R467" s="618">
        <v>3649.9999999999955</v>
      </c>
      <c r="S467" s="618">
        <v>3650.0000002374145</v>
      </c>
      <c r="T467" s="618">
        <v>3650.000000474834</v>
      </c>
      <c r="U467" s="618">
        <v>3650.000000712253</v>
      </c>
      <c r="V467" s="618">
        <v>3650.0000009496725</v>
      </c>
      <c r="W467" s="618">
        <v>3650.0000011870916</v>
      </c>
      <c r="X467" s="618">
        <v>3650.0000009496716</v>
      </c>
      <c r="Y467" s="618">
        <v>3650.0000007122517</v>
      </c>
      <c r="Z467" s="618">
        <v>3650.0000004748313</v>
      </c>
      <c r="AA467" s="618">
        <v>3650.0000002374113</v>
      </c>
      <c r="AB467" s="308">
        <v>3649.9999999999914</v>
      </c>
      <c r="AC467" s="309"/>
      <c r="AD467" s="309"/>
      <c r="AE467" s="309"/>
      <c r="AF467" s="309"/>
      <c r="AG467" s="309"/>
      <c r="AH467" s="309"/>
      <c r="AI467" s="309"/>
      <c r="AJ467" s="309"/>
      <c r="AK467" s="309"/>
      <c r="AL467" s="309"/>
      <c r="AM467" s="309"/>
      <c r="AN467" s="309"/>
      <c r="AO467" s="309"/>
      <c r="AP467" s="163"/>
    </row>
    <row r="468" spans="2:42" x14ac:dyDescent="0.3">
      <c r="B468" s="6"/>
      <c r="C468" s="6"/>
      <c r="D468" s="6">
        <f t="shared" si="33"/>
        <v>11</v>
      </c>
      <c r="E468" s="642" t="str">
        <f t="shared" si="32"/>
        <v>Market Price Effects - Wholesale Capacity</v>
      </c>
      <c r="F468" s="303"/>
      <c r="I468" s="308">
        <v>0</v>
      </c>
      <c r="J468" s="308">
        <v>0</v>
      </c>
      <c r="K468" s="308">
        <v>0</v>
      </c>
      <c r="L468" s="618">
        <v>0</v>
      </c>
      <c r="M468" s="618">
        <v>0</v>
      </c>
      <c r="N468" s="618">
        <v>0</v>
      </c>
      <c r="O468" s="618">
        <v>0</v>
      </c>
      <c r="P468" s="618">
        <v>0</v>
      </c>
      <c r="Q468" s="618">
        <v>0</v>
      </c>
      <c r="R468" s="618">
        <v>0</v>
      </c>
      <c r="S468" s="618">
        <v>0</v>
      </c>
      <c r="T468" s="618">
        <v>0</v>
      </c>
      <c r="U468" s="618">
        <v>0</v>
      </c>
      <c r="V468" s="618">
        <v>0</v>
      </c>
      <c r="W468" s="618">
        <v>0</v>
      </c>
      <c r="X468" s="618">
        <v>0</v>
      </c>
      <c r="Y468" s="618">
        <v>0</v>
      </c>
      <c r="Z468" s="618">
        <v>0</v>
      </c>
      <c r="AA468" s="618">
        <v>0</v>
      </c>
      <c r="AB468" s="308">
        <v>0</v>
      </c>
      <c r="AC468" s="309"/>
      <c r="AD468" s="309"/>
      <c r="AE468" s="309"/>
      <c r="AF468" s="309"/>
      <c r="AG468" s="309"/>
      <c r="AH468" s="309"/>
      <c r="AI468" s="309"/>
      <c r="AJ468" s="309"/>
      <c r="AK468" s="309"/>
      <c r="AL468" s="309"/>
      <c r="AM468" s="309"/>
      <c r="AN468" s="309"/>
      <c r="AO468" s="309"/>
      <c r="AP468" s="163"/>
    </row>
    <row r="469" spans="2:42" x14ac:dyDescent="0.3">
      <c r="B469" s="6"/>
      <c r="C469" s="6"/>
      <c r="D469" s="6">
        <f t="shared" si="33"/>
        <v>11</v>
      </c>
      <c r="E469" s="544"/>
      <c r="F469" s="545"/>
      <c r="G469" s="545"/>
      <c r="H469" s="545"/>
      <c r="I469" s="545"/>
      <c r="J469" s="545"/>
      <c r="K469" s="545"/>
      <c r="L469" s="545"/>
      <c r="M469" s="545"/>
      <c r="N469" s="545"/>
      <c r="O469" s="545"/>
      <c r="P469" s="545"/>
      <c r="Q469" s="545"/>
      <c r="R469" s="545"/>
      <c r="S469" s="545"/>
      <c r="T469" s="545"/>
      <c r="U469" s="545"/>
      <c r="V469" s="545"/>
      <c r="W469" s="545"/>
      <c r="X469" s="545"/>
      <c r="Y469" s="545"/>
      <c r="Z469" s="545"/>
      <c r="AA469" s="545"/>
      <c r="AB469" s="545"/>
      <c r="AC469" s="545"/>
      <c r="AD469" s="545"/>
      <c r="AE469" s="545"/>
      <c r="AF469" s="545"/>
      <c r="AG469" s="545"/>
      <c r="AH469" s="545"/>
      <c r="AI469" s="545"/>
      <c r="AJ469" s="545"/>
      <c r="AK469" s="545"/>
      <c r="AL469" s="545"/>
      <c r="AM469" s="545"/>
      <c r="AN469" s="545"/>
      <c r="AO469" s="545"/>
      <c r="AP469" s="543"/>
    </row>
    <row r="470" spans="2:42" ht="21" x14ac:dyDescent="0.4">
      <c r="B470" s="6"/>
      <c r="C470" s="6"/>
      <c r="D470" s="6">
        <f t="shared" si="33"/>
        <v>12</v>
      </c>
      <c r="E470" s="632" t="str">
        <f>_xlfn.CONCAT(revenueSimulationID," ",$D470,"|",INDEX(StdConfigDesc,$D470,$E$29))</f>
        <v>Case 12|FTM - Market Participant (5 MW / 20 MWh)</v>
      </c>
      <c r="F470" s="633"/>
      <c r="G470" s="633"/>
      <c r="H470" s="633"/>
      <c r="I470" s="633"/>
      <c r="J470" s="633"/>
      <c r="K470" s="633"/>
      <c r="L470" s="633"/>
      <c r="M470" s="633"/>
      <c r="N470" s="633"/>
      <c r="O470" s="633"/>
      <c r="P470" s="633"/>
      <c r="Q470" s="633"/>
      <c r="R470" s="633"/>
      <c r="S470" s="633"/>
      <c r="T470" s="633"/>
      <c r="U470" s="633"/>
      <c r="V470" s="633"/>
      <c r="W470" s="633"/>
      <c r="X470" s="633"/>
      <c r="Y470" s="633"/>
      <c r="Z470" s="633"/>
      <c r="AA470" s="633"/>
      <c r="AB470" s="633"/>
      <c r="AC470" s="633"/>
      <c r="AD470" s="633"/>
      <c r="AE470" s="633"/>
      <c r="AF470" s="633"/>
      <c r="AG470" s="633"/>
      <c r="AH470" s="633"/>
      <c r="AI470" s="633"/>
      <c r="AJ470" s="633"/>
      <c r="AK470" s="633"/>
      <c r="AL470" s="633"/>
      <c r="AM470" s="633"/>
      <c r="AN470" s="633"/>
      <c r="AO470" s="633"/>
      <c r="AP470" s="634"/>
    </row>
    <row r="471" spans="2:42" ht="25.8" x14ac:dyDescent="0.5">
      <c r="B471" s="6"/>
      <c r="C471" s="6"/>
      <c r="D471" s="6">
        <f t="shared" si="33"/>
        <v>12</v>
      </c>
      <c r="E471" s="635"/>
      <c r="F471" s="2">
        <v>2025</v>
      </c>
      <c r="G471" s="2">
        <f>F471+1</f>
        <v>2026</v>
      </c>
      <c r="H471" s="2">
        <f t="shared" ref="H471:AO471" si="34">G471+1</f>
        <v>2027</v>
      </c>
      <c r="I471" s="2">
        <f t="shared" si="34"/>
        <v>2028</v>
      </c>
      <c r="J471" s="2">
        <f t="shared" si="34"/>
        <v>2029</v>
      </c>
      <c r="K471" s="2">
        <f t="shared" si="34"/>
        <v>2030</v>
      </c>
      <c r="L471" s="2">
        <f t="shared" si="34"/>
        <v>2031</v>
      </c>
      <c r="M471" s="2">
        <f t="shared" si="34"/>
        <v>2032</v>
      </c>
      <c r="N471" s="2">
        <f t="shared" si="34"/>
        <v>2033</v>
      </c>
      <c r="O471" s="2">
        <f t="shared" si="34"/>
        <v>2034</v>
      </c>
      <c r="P471" s="2">
        <f t="shared" si="34"/>
        <v>2035</v>
      </c>
      <c r="Q471" s="2">
        <f t="shared" si="34"/>
        <v>2036</v>
      </c>
      <c r="R471" s="2">
        <f t="shared" si="34"/>
        <v>2037</v>
      </c>
      <c r="S471" s="2">
        <f t="shared" si="34"/>
        <v>2038</v>
      </c>
      <c r="T471" s="2">
        <f t="shared" si="34"/>
        <v>2039</v>
      </c>
      <c r="U471" s="2">
        <f t="shared" si="34"/>
        <v>2040</v>
      </c>
      <c r="V471" s="2">
        <f t="shared" si="34"/>
        <v>2041</v>
      </c>
      <c r="W471" s="2">
        <f t="shared" si="34"/>
        <v>2042</v>
      </c>
      <c r="X471" s="2">
        <f t="shared" si="34"/>
        <v>2043</v>
      </c>
      <c r="Y471" s="2">
        <f t="shared" si="34"/>
        <v>2044</v>
      </c>
      <c r="Z471" s="2">
        <f t="shared" si="34"/>
        <v>2045</v>
      </c>
      <c r="AA471" s="2">
        <f t="shared" si="34"/>
        <v>2046</v>
      </c>
      <c r="AB471" s="2">
        <f t="shared" si="34"/>
        <v>2047</v>
      </c>
      <c r="AC471" s="2">
        <f t="shared" si="34"/>
        <v>2048</v>
      </c>
      <c r="AD471" s="2">
        <f t="shared" si="34"/>
        <v>2049</v>
      </c>
      <c r="AE471" s="2">
        <f t="shared" si="34"/>
        <v>2050</v>
      </c>
      <c r="AF471" s="2">
        <f t="shared" si="34"/>
        <v>2051</v>
      </c>
      <c r="AG471" s="2">
        <f t="shared" si="34"/>
        <v>2052</v>
      </c>
      <c r="AH471" s="2">
        <f t="shared" si="34"/>
        <v>2053</v>
      </c>
      <c r="AI471" s="2">
        <f t="shared" si="34"/>
        <v>2054</v>
      </c>
      <c r="AJ471" s="2">
        <f t="shared" si="34"/>
        <v>2055</v>
      </c>
      <c r="AK471" s="2">
        <f t="shared" si="34"/>
        <v>2056</v>
      </c>
      <c r="AL471" s="2">
        <f t="shared" si="34"/>
        <v>2057</v>
      </c>
      <c r="AM471" s="2">
        <f t="shared" si="34"/>
        <v>2058</v>
      </c>
      <c r="AN471" s="2">
        <f t="shared" si="34"/>
        <v>2059</v>
      </c>
      <c r="AO471" s="2">
        <f t="shared" si="34"/>
        <v>2060</v>
      </c>
      <c r="AP471" s="163"/>
    </row>
    <row r="472" spans="2:42" x14ac:dyDescent="0.3">
      <c r="B472" s="6"/>
      <c r="C472" s="6"/>
      <c r="D472" s="6">
        <f t="shared" si="33"/>
        <v>12</v>
      </c>
      <c r="E472" s="636" t="str">
        <f>E432</f>
        <v>Capacity - PJM Market</v>
      </c>
      <c r="F472" s="302"/>
      <c r="G472" s="317"/>
      <c r="H472" s="317"/>
      <c r="I472" s="317">
        <f>'Capacity Values'!D29</f>
        <v>346059.37437499996</v>
      </c>
      <c r="J472" s="317">
        <f>'Capacity Values'!E29</f>
        <v>385531.34490000008</v>
      </c>
      <c r="K472" s="317">
        <f>'Capacity Values'!F29</f>
        <v>421844.19479999994</v>
      </c>
      <c r="L472" s="317">
        <f>'Capacity Values'!G29</f>
        <v>359216.95095000003</v>
      </c>
      <c r="M472" s="317">
        <f>'Capacity Values'!H29</f>
        <v>299746.52640000003</v>
      </c>
      <c r="N472" s="317">
        <f>'Capacity Values'!I29</f>
        <v>289197.16499999998</v>
      </c>
      <c r="O472" s="317">
        <f>'Capacity Values'!J29</f>
        <v>284519.66627500003</v>
      </c>
      <c r="P472" s="317">
        <f>'Capacity Values'!K29</f>
        <v>284514.58</v>
      </c>
      <c r="Q472" s="317">
        <f>'Capacity Values'!L29</f>
        <v>286340.67135000008</v>
      </c>
      <c r="R472" s="317">
        <f>'Capacity Values'!M29</f>
        <v>284517.55475000001</v>
      </c>
      <c r="S472" s="317">
        <f>'Capacity Values'!N29</f>
        <v>281546.263125</v>
      </c>
      <c r="T472" s="317">
        <f>'Capacity Values'!O29</f>
        <v>277638.87060000002</v>
      </c>
      <c r="U472" s="317">
        <f>'Capacity Values'!P29</f>
        <v>272512.52955000009</v>
      </c>
      <c r="V472" s="317">
        <f>'Capacity Values'!Q29</f>
        <v>267978.64555000002</v>
      </c>
      <c r="W472" s="317">
        <f>'Capacity Values'!R29</f>
        <v>262527.70634999999</v>
      </c>
      <c r="X472" s="317">
        <f>'Capacity Values'!S29</f>
        <v>256738.91949999999</v>
      </c>
      <c r="Y472" s="317">
        <f>'Capacity Values'!T29</f>
        <v>250783.88609999997</v>
      </c>
      <c r="Z472" s="317">
        <f>'Capacity Values'!U29</f>
        <v>244463.29424999998</v>
      </c>
      <c r="AA472" s="317">
        <f>'Capacity Values'!V29</f>
        <v>236770.26590000003</v>
      </c>
      <c r="AB472" s="317">
        <f>'Capacity Values'!W29</f>
        <v>228967.85800000001</v>
      </c>
      <c r="AC472" s="317"/>
      <c r="AD472" s="317"/>
      <c r="AE472" s="317"/>
      <c r="AF472" s="317"/>
      <c r="AG472" s="317"/>
      <c r="AH472" s="317"/>
      <c r="AI472" s="317"/>
      <c r="AJ472" s="317"/>
      <c r="AK472" s="317"/>
      <c r="AL472" s="317"/>
      <c r="AM472" s="317"/>
      <c r="AN472" s="317"/>
      <c r="AO472" s="317"/>
      <c r="AP472" s="163"/>
    </row>
    <row r="473" spans="2:42" x14ac:dyDescent="0.3">
      <c r="B473" s="6"/>
      <c r="C473" s="6"/>
      <c r="D473" s="6">
        <f t="shared" si="33"/>
        <v>12</v>
      </c>
      <c r="E473" s="636" t="str">
        <f t="shared" ref="E473:E508" si="35">E433</f>
        <v>Energy Arbitrage - PJM Market</v>
      </c>
      <c r="F473" s="303"/>
      <c r="G473" s="304"/>
      <c r="H473" s="304"/>
      <c r="I473" s="304">
        <v>250265.78961298493</v>
      </c>
      <c r="J473" s="304">
        <v>309325.58707412356</v>
      </c>
      <c r="K473" s="304">
        <v>340280.00241252308</v>
      </c>
      <c r="L473" s="304">
        <v>342998.40320481913</v>
      </c>
      <c r="M473" s="304">
        <v>374997.76554258092</v>
      </c>
      <c r="N473" s="304">
        <v>394873.21980855759</v>
      </c>
      <c r="O473" s="304">
        <v>414748.67407453409</v>
      </c>
      <c r="P473" s="304">
        <v>434624.12834051065</v>
      </c>
      <c r="Q473" s="304">
        <v>454499.58260648733</v>
      </c>
      <c r="R473" s="304">
        <v>474375.03687246382</v>
      </c>
      <c r="S473" s="304">
        <v>539261.75557639706</v>
      </c>
      <c r="T473" s="304">
        <v>604148.47428032989</v>
      </c>
      <c r="U473" s="304">
        <v>669035.19298426295</v>
      </c>
      <c r="V473" s="304">
        <v>733921.91168819577</v>
      </c>
      <c r="W473" s="304">
        <v>798808.63039212907</v>
      </c>
      <c r="X473" s="304">
        <v>839633.94312976534</v>
      </c>
      <c r="Y473" s="304">
        <v>880459.25586740242</v>
      </c>
      <c r="Z473" s="304">
        <v>921284.5686050388</v>
      </c>
      <c r="AA473" s="304">
        <v>962109.88134267565</v>
      </c>
      <c r="AB473" s="304">
        <v>1002935.1940803123</v>
      </c>
      <c r="AC473" s="304"/>
      <c r="AD473" s="304"/>
      <c r="AE473" s="304"/>
      <c r="AF473" s="304"/>
      <c r="AG473" s="304"/>
      <c r="AH473" s="304"/>
      <c r="AI473" s="304"/>
      <c r="AJ473" s="304"/>
      <c r="AK473" s="304"/>
      <c r="AL473" s="304"/>
      <c r="AM473" s="304"/>
      <c r="AN473" s="304"/>
      <c r="AO473" s="304"/>
      <c r="AP473" s="163"/>
    </row>
    <row r="474" spans="2:42" x14ac:dyDescent="0.3">
      <c r="B474" s="6"/>
      <c r="C474" s="6"/>
      <c r="D474" s="6">
        <f t="shared" si="33"/>
        <v>12</v>
      </c>
      <c r="E474" s="636" t="str">
        <f t="shared" si="35"/>
        <v>Spin- PJM Market</v>
      </c>
      <c r="F474" s="303"/>
      <c r="G474" s="304"/>
      <c r="H474" s="304"/>
      <c r="I474" s="304">
        <v>47998.937290980095</v>
      </c>
      <c r="J474" s="304">
        <v>45435.374866125807</v>
      </c>
      <c r="K474" s="304">
        <v>48292.137016827328</v>
      </c>
      <c r="L474" s="304">
        <v>44590.789823802552</v>
      </c>
      <c r="M474" s="304">
        <v>41590.76660757263</v>
      </c>
      <c r="N474" s="304">
        <v>42181.22551739926</v>
      </c>
      <c r="O474" s="304">
        <v>42771.68442722589</v>
      </c>
      <c r="P474" s="304">
        <v>43362.143337052526</v>
      </c>
      <c r="Q474" s="304">
        <v>43952.602246879156</v>
      </c>
      <c r="R474" s="304">
        <v>44543.061156705786</v>
      </c>
      <c r="S474" s="304">
        <v>46347.096006184969</v>
      </c>
      <c r="T474" s="304">
        <v>48151.130855664145</v>
      </c>
      <c r="U474" s="304">
        <v>49955.165705143329</v>
      </c>
      <c r="V474" s="304">
        <v>51759.200554622505</v>
      </c>
      <c r="W474" s="304">
        <v>53563.235404101688</v>
      </c>
      <c r="X474" s="304">
        <v>55466.537518403355</v>
      </c>
      <c r="Y474" s="304">
        <v>57369.839632705021</v>
      </c>
      <c r="Z474" s="304">
        <v>59273.141747006695</v>
      </c>
      <c r="AA474" s="304">
        <v>61176.443861308362</v>
      </c>
      <c r="AB474" s="304">
        <v>63079.745975610029</v>
      </c>
      <c r="AC474" s="304"/>
      <c r="AD474" s="304"/>
      <c r="AE474" s="304"/>
      <c r="AF474" s="304"/>
      <c r="AG474" s="304"/>
      <c r="AH474" s="304"/>
      <c r="AI474" s="304"/>
      <c r="AJ474" s="304"/>
      <c r="AK474" s="304"/>
      <c r="AL474" s="304"/>
      <c r="AM474" s="304"/>
      <c r="AN474" s="304"/>
      <c r="AO474" s="304"/>
      <c r="AP474" s="163"/>
    </row>
    <row r="475" spans="2:42" x14ac:dyDescent="0.3">
      <c r="B475" s="6"/>
      <c r="C475" s="6"/>
      <c r="D475" s="6">
        <f t="shared" si="33"/>
        <v>12</v>
      </c>
      <c r="E475" s="636" t="str">
        <f t="shared" si="35"/>
        <v>Non-Spin - PJM Market</v>
      </c>
      <c r="F475" s="303"/>
      <c r="G475" s="304"/>
      <c r="H475" s="304"/>
      <c r="I475" s="304">
        <v>0</v>
      </c>
      <c r="J475" s="304">
        <v>0</v>
      </c>
      <c r="K475" s="304">
        <v>0</v>
      </c>
      <c r="L475" s="304">
        <v>0</v>
      </c>
      <c r="M475" s="304">
        <v>0</v>
      </c>
      <c r="N475" s="304">
        <v>0</v>
      </c>
      <c r="O475" s="304">
        <v>0</v>
      </c>
      <c r="P475" s="304">
        <v>0</v>
      </c>
      <c r="Q475" s="304">
        <v>0</v>
      </c>
      <c r="R475" s="304">
        <v>0</v>
      </c>
      <c r="S475" s="304">
        <v>0</v>
      </c>
      <c r="T475" s="304">
        <v>0</v>
      </c>
      <c r="U475" s="304">
        <v>0</v>
      </c>
      <c r="V475" s="304">
        <v>0</v>
      </c>
      <c r="W475" s="304">
        <v>0</v>
      </c>
      <c r="X475" s="304">
        <v>0</v>
      </c>
      <c r="Y475" s="304">
        <v>0</v>
      </c>
      <c r="Z475" s="304">
        <v>0</v>
      </c>
      <c r="AA475" s="304">
        <v>0</v>
      </c>
      <c r="AB475" s="304">
        <v>0</v>
      </c>
      <c r="AC475" s="304"/>
      <c r="AD475" s="304"/>
      <c r="AE475" s="304"/>
      <c r="AF475" s="304"/>
      <c r="AG475" s="304"/>
      <c r="AH475" s="304"/>
      <c r="AI475" s="304"/>
      <c r="AJ475" s="304"/>
      <c r="AK475" s="304"/>
      <c r="AL475" s="304"/>
      <c r="AM475" s="304"/>
      <c r="AN475" s="304"/>
      <c r="AO475" s="304"/>
      <c r="AP475" s="163"/>
    </row>
    <row r="476" spans="2:42" x14ac:dyDescent="0.3">
      <c r="B476" s="6"/>
      <c r="C476" s="6"/>
      <c r="D476" s="6">
        <f t="shared" si="33"/>
        <v>12</v>
      </c>
      <c r="E476" s="636" t="str">
        <f t="shared" si="35"/>
        <v>Regulation - PJM Market</v>
      </c>
      <c r="F476" s="303"/>
      <c r="G476" s="304"/>
      <c r="H476" s="304"/>
      <c r="I476" s="304">
        <v>385274.9459514505</v>
      </c>
      <c r="J476" s="304">
        <v>187469.81018212816</v>
      </c>
      <c r="K476" s="304">
        <v>89425.843897122526</v>
      </c>
      <c r="L476" s="304">
        <v>55101.213492482275</v>
      </c>
      <c r="M476" s="304">
        <v>35864.675877402202</v>
      </c>
      <c r="N476" s="304">
        <v>31984.032811938745</v>
      </c>
      <c r="O476" s="304">
        <v>28103.389746475303</v>
      </c>
      <c r="P476" s="304">
        <v>24222.746681011857</v>
      </c>
      <c r="Q476" s="304">
        <v>20342.103615548414</v>
      </c>
      <c r="R476" s="304">
        <v>16461.460550084965</v>
      </c>
      <c r="S476" s="304">
        <v>17654.979933031511</v>
      </c>
      <c r="T476" s="304">
        <v>18848.499315978057</v>
      </c>
      <c r="U476" s="304">
        <v>20042.018698924599</v>
      </c>
      <c r="V476" s="304">
        <v>21235.538081871142</v>
      </c>
      <c r="W476" s="304">
        <v>22429.057464817692</v>
      </c>
      <c r="X476" s="304">
        <v>22290.896023455214</v>
      </c>
      <c r="Y476" s="304">
        <v>22152.734582092744</v>
      </c>
      <c r="Z476" s="304">
        <v>22014.573140730259</v>
      </c>
      <c r="AA476" s="304">
        <v>21876.411699367793</v>
      </c>
      <c r="AB476" s="304">
        <v>21738.250258005315</v>
      </c>
      <c r="AC476" s="304"/>
      <c r="AD476" s="304"/>
      <c r="AE476" s="304"/>
      <c r="AF476" s="304"/>
      <c r="AG476" s="304"/>
      <c r="AH476" s="304"/>
      <c r="AI476" s="304"/>
      <c r="AJ476" s="304"/>
      <c r="AK476" s="304"/>
      <c r="AL476" s="304"/>
      <c r="AM476" s="304"/>
      <c r="AN476" s="304"/>
      <c r="AO476" s="304"/>
      <c r="AP476" s="163"/>
    </row>
    <row r="477" spans="2:42" x14ac:dyDescent="0.3">
      <c r="B477" s="6"/>
      <c r="C477" s="6"/>
      <c r="D477" s="6">
        <f t="shared" si="33"/>
        <v>12</v>
      </c>
      <c r="E477" s="636" t="str">
        <f t="shared" si="35"/>
        <v>Incurred Energy Charges</v>
      </c>
      <c r="F477" s="303"/>
      <c r="G477" s="304"/>
      <c r="H477" s="304"/>
      <c r="I477" s="304">
        <v>0</v>
      </c>
      <c r="J477" s="304">
        <v>0</v>
      </c>
      <c r="K477" s="304">
        <v>0</v>
      </c>
      <c r="L477" s="304">
        <v>0</v>
      </c>
      <c r="M477" s="304">
        <v>0</v>
      </c>
      <c r="N477" s="304">
        <v>0</v>
      </c>
      <c r="O477" s="304">
        <v>0</v>
      </c>
      <c r="P477" s="304">
        <v>0</v>
      </c>
      <c r="Q477" s="304">
        <v>0</v>
      </c>
      <c r="R477" s="304">
        <v>0</v>
      </c>
      <c r="S477" s="304">
        <v>0</v>
      </c>
      <c r="T477" s="304">
        <v>0</v>
      </c>
      <c r="U477" s="304">
        <v>0</v>
      </c>
      <c r="V477" s="304">
        <v>0</v>
      </c>
      <c r="W477" s="304">
        <v>0</v>
      </c>
      <c r="X477" s="304">
        <v>0</v>
      </c>
      <c r="Y477" s="304">
        <v>0</v>
      </c>
      <c r="Z477" s="304">
        <v>0</v>
      </c>
      <c r="AA477" s="304">
        <v>0</v>
      </c>
      <c r="AB477" s="304">
        <v>0</v>
      </c>
      <c r="AC477" s="304"/>
      <c r="AD477" s="304"/>
      <c r="AE477" s="304"/>
      <c r="AF477" s="304"/>
      <c r="AG477" s="304"/>
      <c r="AH477" s="304"/>
      <c r="AI477" s="304"/>
      <c r="AJ477" s="304"/>
      <c r="AK477" s="304"/>
      <c r="AL477" s="304"/>
      <c r="AM477" s="304"/>
      <c r="AN477" s="304"/>
      <c r="AO477" s="304"/>
      <c r="AP477" s="163"/>
    </row>
    <row r="478" spans="2:42" x14ac:dyDescent="0.3">
      <c r="B478" s="6"/>
      <c r="C478" s="6"/>
      <c r="D478" s="6">
        <f t="shared" si="33"/>
        <v>12</v>
      </c>
      <c r="E478" s="636" t="str">
        <f t="shared" si="35"/>
        <v>As Used Demand Charges</v>
      </c>
      <c r="F478" s="303"/>
      <c r="G478" s="304"/>
      <c r="H478" s="304"/>
      <c r="I478" s="304">
        <v>-68072.934842471135</v>
      </c>
      <c r="J478" s="304">
        <v>-69170.560031108893</v>
      </c>
      <c r="K478" s="304">
        <v>-66922.013098983705</v>
      </c>
      <c r="L478" s="304">
        <v>-69376.38921704446</v>
      </c>
      <c r="M478" s="304">
        <v>-73902.189857158985</v>
      </c>
      <c r="N478" s="304">
        <v>-80814.652701130122</v>
      </c>
      <c r="O478" s="304">
        <v>-87727.115545101275</v>
      </c>
      <c r="P478" s="304">
        <v>-94639.578389072412</v>
      </c>
      <c r="Q478" s="304">
        <v>-101552.04123304356</v>
      </c>
      <c r="R478" s="304">
        <v>-108464.5040770147</v>
      </c>
      <c r="S478" s="304">
        <v>-123718.93918113671</v>
      </c>
      <c r="T478" s="304">
        <v>-138973.37428525873</v>
      </c>
      <c r="U478" s="304">
        <v>-154227.80938938074</v>
      </c>
      <c r="V478" s="304">
        <v>-169482.24449350275</v>
      </c>
      <c r="W478" s="304">
        <v>-184736.67959762475</v>
      </c>
      <c r="X478" s="304">
        <v>-183352.33696432988</v>
      </c>
      <c r="Y478" s="304">
        <v>-181967.99433103501</v>
      </c>
      <c r="Z478" s="304">
        <v>-180583.6516977401</v>
      </c>
      <c r="AA478" s="304">
        <v>-179199.30906444523</v>
      </c>
      <c r="AB478" s="304">
        <v>-177814.96643115036</v>
      </c>
      <c r="AC478" s="304"/>
      <c r="AD478" s="304"/>
      <c r="AE478" s="304"/>
      <c r="AF478" s="304"/>
      <c r="AG478" s="304"/>
      <c r="AH478" s="304"/>
      <c r="AI478" s="304"/>
      <c r="AJ478" s="304"/>
      <c r="AK478" s="304"/>
      <c r="AL478" s="304"/>
      <c r="AM478" s="304"/>
      <c r="AN478" s="304"/>
      <c r="AO478" s="304"/>
      <c r="AP478" s="163"/>
    </row>
    <row r="479" spans="2:42" x14ac:dyDescent="0.3">
      <c r="B479" s="6"/>
      <c r="C479" s="6"/>
      <c r="D479" s="6">
        <f t="shared" si="33"/>
        <v>12</v>
      </c>
      <c r="E479" s="636" t="str">
        <f t="shared" si="35"/>
        <v>Contract Demand Charges  Fixed</v>
      </c>
      <c r="F479" s="303"/>
      <c r="G479" s="304"/>
      <c r="H479" s="304"/>
      <c r="I479" s="304">
        <v>0</v>
      </c>
      <c r="J479" s="304">
        <v>0</v>
      </c>
      <c r="K479" s="304">
        <v>0</v>
      </c>
      <c r="L479" s="304">
        <v>0</v>
      </c>
      <c r="M479" s="304">
        <v>0</v>
      </c>
      <c r="N479" s="304">
        <v>0</v>
      </c>
      <c r="O479" s="304">
        <v>0</v>
      </c>
      <c r="P479" s="304">
        <v>0</v>
      </c>
      <c r="Q479" s="304">
        <v>0</v>
      </c>
      <c r="R479" s="304">
        <v>0</v>
      </c>
      <c r="S479" s="304">
        <v>0</v>
      </c>
      <c r="T479" s="304">
        <v>0</v>
      </c>
      <c r="U479" s="304">
        <v>0</v>
      </c>
      <c r="V479" s="304">
        <v>0</v>
      </c>
      <c r="W479" s="304">
        <v>0</v>
      </c>
      <c r="X479" s="304">
        <v>0</v>
      </c>
      <c r="Y479" s="304">
        <v>0</v>
      </c>
      <c r="Z479" s="304">
        <v>0</v>
      </c>
      <c r="AA479" s="304">
        <v>0</v>
      </c>
      <c r="AB479" s="304">
        <v>0</v>
      </c>
      <c r="AC479" s="304"/>
      <c r="AD479" s="304"/>
      <c r="AE479" s="304"/>
      <c r="AF479" s="304"/>
      <c r="AG479" s="304"/>
      <c r="AH479" s="304"/>
      <c r="AI479" s="304"/>
      <c r="AJ479" s="304"/>
      <c r="AK479" s="304"/>
      <c r="AL479" s="304"/>
      <c r="AM479" s="304"/>
      <c r="AN479" s="304"/>
      <c r="AO479" s="304"/>
      <c r="AP479" s="163"/>
    </row>
    <row r="480" spans="2:42" x14ac:dyDescent="0.3">
      <c r="B480" s="6"/>
      <c r="C480" s="6"/>
      <c r="D480" s="6">
        <f t="shared" si="33"/>
        <v>12</v>
      </c>
      <c r="E480" s="636" t="str">
        <f t="shared" si="35"/>
        <v>Customer Charges/ Fixed Charges</v>
      </c>
      <c r="F480" s="303"/>
      <c r="G480" s="304"/>
      <c r="H480" s="304"/>
      <c r="I480" s="304">
        <v>-404.17228800000004</v>
      </c>
      <c r="J480" s="304">
        <v>-420.33917952000007</v>
      </c>
      <c r="K480" s="304">
        <v>-437.15274670080009</v>
      </c>
      <c r="L480" s="304">
        <v>-454.63885656883213</v>
      </c>
      <c r="M480" s="304">
        <v>-472.82441083158545</v>
      </c>
      <c r="N480" s="304">
        <v>-491.73738726484891</v>
      </c>
      <c r="O480" s="304">
        <v>-511.40688275544289</v>
      </c>
      <c r="P480" s="304">
        <v>-531.86315806566063</v>
      </c>
      <c r="Q480" s="304">
        <v>-553.13768438828708</v>
      </c>
      <c r="R480" s="304">
        <v>-575.26319176381855</v>
      </c>
      <c r="S480" s="304">
        <v>-598.27371943437129</v>
      </c>
      <c r="T480" s="304">
        <v>-622.20466821174614</v>
      </c>
      <c r="U480" s="304">
        <v>-647.09285494021606</v>
      </c>
      <c r="V480" s="304">
        <v>-672.97656913782475</v>
      </c>
      <c r="W480" s="304">
        <v>-699.89563190333774</v>
      </c>
      <c r="X480" s="304">
        <v>-727.89145717947133</v>
      </c>
      <c r="Y480" s="304">
        <v>-757.00711546665025</v>
      </c>
      <c r="Z480" s="304">
        <v>-787.28740008531634</v>
      </c>
      <c r="AA480" s="304">
        <v>-818.77889608872897</v>
      </c>
      <c r="AB480" s="304">
        <v>-851.53005193227818</v>
      </c>
      <c r="AC480" s="304"/>
      <c r="AD480" s="304"/>
      <c r="AE480" s="304"/>
      <c r="AF480" s="304"/>
      <c r="AG480" s="304"/>
      <c r="AH480" s="304"/>
      <c r="AI480" s="304"/>
      <c r="AJ480" s="304"/>
      <c r="AK480" s="304"/>
      <c r="AL480" s="304"/>
      <c r="AM480" s="304"/>
      <c r="AN480" s="304"/>
      <c r="AO480" s="304"/>
      <c r="AP480" s="163"/>
    </row>
    <row r="481" spans="2:42" x14ac:dyDescent="0.3">
      <c r="B481" s="6"/>
      <c r="C481" s="6"/>
      <c r="D481" s="6">
        <f t="shared" si="33"/>
        <v>12</v>
      </c>
      <c r="E481" s="637" t="str">
        <f t="shared" si="35"/>
        <v>Energy Savings</v>
      </c>
      <c r="F481" s="303"/>
      <c r="G481" s="304"/>
      <c r="H481" s="304"/>
      <c r="I481" s="304">
        <v>0</v>
      </c>
      <c r="J481" s="304">
        <v>0</v>
      </c>
      <c r="K481" s="304">
        <v>0</v>
      </c>
      <c r="L481" s="617">
        <v>0</v>
      </c>
      <c r="M481" s="617">
        <v>0</v>
      </c>
      <c r="N481" s="617">
        <v>0</v>
      </c>
      <c r="O481" s="617">
        <v>0</v>
      </c>
      <c r="P481" s="617">
        <v>0</v>
      </c>
      <c r="Q481" s="617">
        <v>0</v>
      </c>
      <c r="R481" s="617">
        <v>0</v>
      </c>
      <c r="S481" s="617">
        <v>0</v>
      </c>
      <c r="T481" s="617">
        <v>0</v>
      </c>
      <c r="U481" s="617">
        <v>0</v>
      </c>
      <c r="V481" s="617">
        <v>0</v>
      </c>
      <c r="W481" s="617">
        <v>0</v>
      </c>
      <c r="X481" s="617">
        <v>0</v>
      </c>
      <c r="Y481" s="617">
        <v>0</v>
      </c>
      <c r="Z481" s="617">
        <v>0</v>
      </c>
      <c r="AA481" s="617">
        <v>0</v>
      </c>
      <c r="AB481" s="304">
        <v>0</v>
      </c>
      <c r="AC481" s="304"/>
      <c r="AD481" s="304"/>
      <c r="AE481" s="304"/>
      <c r="AF481" s="304"/>
      <c r="AG481" s="304"/>
      <c r="AH481" s="304"/>
      <c r="AI481" s="304"/>
      <c r="AJ481" s="304"/>
      <c r="AK481" s="304"/>
      <c r="AL481" s="304"/>
      <c r="AM481" s="304"/>
      <c r="AN481" s="304"/>
      <c r="AO481" s="304"/>
      <c r="AP481" s="163"/>
    </row>
    <row r="482" spans="2:42" x14ac:dyDescent="0.3">
      <c r="B482" s="6"/>
      <c r="C482" s="6"/>
      <c r="D482" s="6">
        <f t="shared" si="33"/>
        <v>12</v>
      </c>
      <c r="E482" s="637" t="str">
        <f t="shared" si="35"/>
        <v xml:space="preserve">Demand Savings </v>
      </c>
      <c r="F482" s="303"/>
      <c r="G482" s="304"/>
      <c r="H482" s="304"/>
      <c r="I482" s="304">
        <v>0</v>
      </c>
      <c r="J482" s="304">
        <v>0</v>
      </c>
      <c r="K482" s="304">
        <v>0</v>
      </c>
      <c r="L482" s="617">
        <v>0</v>
      </c>
      <c r="M482" s="617">
        <v>0</v>
      </c>
      <c r="N482" s="617">
        <v>0</v>
      </c>
      <c r="O482" s="617">
        <v>0</v>
      </c>
      <c r="P482" s="617">
        <v>0</v>
      </c>
      <c r="Q482" s="617">
        <v>0</v>
      </c>
      <c r="R482" s="617">
        <v>0</v>
      </c>
      <c r="S482" s="617">
        <v>0</v>
      </c>
      <c r="T482" s="617">
        <v>0</v>
      </c>
      <c r="U482" s="617">
        <v>0</v>
      </c>
      <c r="V482" s="617">
        <v>0</v>
      </c>
      <c r="W482" s="617">
        <v>0</v>
      </c>
      <c r="X482" s="617">
        <v>0</v>
      </c>
      <c r="Y482" s="617">
        <v>0</v>
      </c>
      <c r="Z482" s="617">
        <v>0</v>
      </c>
      <c r="AA482" s="617">
        <v>0</v>
      </c>
      <c r="AB482" s="304">
        <v>0</v>
      </c>
      <c r="AC482" s="304"/>
      <c r="AD482" s="304"/>
      <c r="AE482" s="304"/>
      <c r="AF482" s="304"/>
      <c r="AG482" s="304"/>
      <c r="AH482" s="304"/>
      <c r="AI482" s="304"/>
      <c r="AJ482" s="304"/>
      <c r="AK482" s="304"/>
      <c r="AL482" s="304"/>
      <c r="AM482" s="304"/>
      <c r="AN482" s="304"/>
      <c r="AO482" s="304"/>
      <c r="AP482" s="163"/>
    </row>
    <row r="483" spans="2:42" x14ac:dyDescent="0.3">
      <c r="B483" s="6"/>
      <c r="C483" s="6"/>
      <c r="D483" s="6">
        <f t="shared" si="33"/>
        <v>12</v>
      </c>
      <c r="E483" s="638" t="str">
        <f t="shared" si="35"/>
        <v>Energy Generation - Export</v>
      </c>
      <c r="F483" s="303"/>
      <c r="G483" s="304"/>
      <c r="H483" s="304"/>
      <c r="I483" s="304">
        <v>0</v>
      </c>
      <c r="J483" s="304">
        <v>0</v>
      </c>
      <c r="K483" s="304">
        <v>0</v>
      </c>
      <c r="L483" s="617">
        <v>0</v>
      </c>
      <c r="M483" s="617">
        <v>0</v>
      </c>
      <c r="N483" s="617">
        <v>0</v>
      </c>
      <c r="O483" s="617">
        <v>0</v>
      </c>
      <c r="P483" s="617">
        <v>0</v>
      </c>
      <c r="Q483" s="617">
        <v>0</v>
      </c>
      <c r="R483" s="617">
        <v>0</v>
      </c>
      <c r="S483" s="617">
        <v>0</v>
      </c>
      <c r="T483" s="617">
        <v>0</v>
      </c>
      <c r="U483" s="617">
        <v>0</v>
      </c>
      <c r="V483" s="617">
        <v>0</v>
      </c>
      <c r="W483" s="617">
        <v>0</v>
      </c>
      <c r="X483" s="617">
        <v>0</v>
      </c>
      <c r="Y483" s="617">
        <v>0</v>
      </c>
      <c r="Z483" s="617">
        <v>0</v>
      </c>
      <c r="AA483" s="617">
        <v>0</v>
      </c>
      <c r="AB483" s="304">
        <v>0</v>
      </c>
      <c r="AC483" s="304"/>
      <c r="AD483" s="304"/>
      <c r="AE483" s="304"/>
      <c r="AF483" s="304"/>
      <c r="AG483" s="304"/>
      <c r="AH483" s="304"/>
      <c r="AI483" s="304"/>
      <c r="AJ483" s="304"/>
      <c r="AK483" s="304"/>
      <c r="AL483" s="304"/>
      <c r="AM483" s="304"/>
      <c r="AN483" s="304"/>
      <c r="AO483" s="304"/>
      <c r="AP483" s="163"/>
    </row>
    <row r="484" spans="2:42" x14ac:dyDescent="0.3">
      <c r="B484" s="6"/>
      <c r="C484" s="6"/>
      <c r="D484" s="6">
        <f t="shared" si="33"/>
        <v>12</v>
      </c>
      <c r="E484" s="638" t="str">
        <f t="shared" si="35"/>
        <v>Generation Capacity</v>
      </c>
      <c r="F484" s="303"/>
      <c r="G484" s="304"/>
      <c r="H484" s="304"/>
      <c r="I484" s="304">
        <v>0</v>
      </c>
      <c r="J484" s="304">
        <v>0</v>
      </c>
      <c r="K484" s="304">
        <v>0</v>
      </c>
      <c r="L484" s="617">
        <v>0</v>
      </c>
      <c r="M484" s="617">
        <v>0</v>
      </c>
      <c r="N484" s="617">
        <v>0</v>
      </c>
      <c r="O484" s="617">
        <v>0</v>
      </c>
      <c r="P484" s="617">
        <v>0</v>
      </c>
      <c r="Q484" s="617">
        <v>0</v>
      </c>
      <c r="R484" s="617">
        <v>0</v>
      </c>
      <c r="S484" s="617">
        <v>0</v>
      </c>
      <c r="T484" s="617">
        <v>0</v>
      </c>
      <c r="U484" s="617">
        <v>0</v>
      </c>
      <c r="V484" s="617">
        <v>0</v>
      </c>
      <c r="W484" s="617">
        <v>0</v>
      </c>
      <c r="X484" s="617">
        <v>0</v>
      </c>
      <c r="Y484" s="617">
        <v>0</v>
      </c>
      <c r="Z484" s="617">
        <v>0</v>
      </c>
      <c r="AA484" s="617">
        <v>0</v>
      </c>
      <c r="AB484" s="304">
        <v>0</v>
      </c>
      <c r="AC484" s="304"/>
      <c r="AD484" s="304"/>
      <c r="AE484" s="304"/>
      <c r="AF484" s="304"/>
      <c r="AG484" s="304"/>
      <c r="AH484" s="304"/>
      <c r="AI484" s="304"/>
      <c r="AJ484" s="304"/>
      <c r="AK484" s="304"/>
      <c r="AL484" s="304"/>
      <c r="AM484" s="304"/>
      <c r="AN484" s="304"/>
      <c r="AO484" s="304"/>
      <c r="AP484" s="163"/>
    </row>
    <row r="485" spans="2:42" x14ac:dyDescent="0.3">
      <c r="B485" s="6"/>
      <c r="C485" s="6"/>
      <c r="D485" s="6">
        <f t="shared" si="33"/>
        <v>12</v>
      </c>
      <c r="E485" s="638" t="str">
        <f t="shared" si="35"/>
        <v>Transmission Capacity</v>
      </c>
      <c r="F485" s="303"/>
      <c r="G485" s="304"/>
      <c r="H485" s="304"/>
      <c r="I485" s="304">
        <v>299429.50624240475</v>
      </c>
      <c r="J485" s="304">
        <v>296452.62475492159</v>
      </c>
      <c r="K485" s="304">
        <v>243602.40258478557</v>
      </c>
      <c r="L485" s="617">
        <v>243547.94035749932</v>
      </c>
      <c r="M485" s="617">
        <v>240824.22897314269</v>
      </c>
      <c r="N485" s="617">
        <v>241384.26745395127</v>
      </c>
      <c r="O485" s="617">
        <v>241944.30593475988</v>
      </c>
      <c r="P485" s="617">
        <v>242504.34441556846</v>
      </c>
      <c r="Q485" s="617">
        <v>243064.38289637706</v>
      </c>
      <c r="R485" s="617">
        <v>243624.42137718564</v>
      </c>
      <c r="S485" s="617">
        <v>247182.3444760876</v>
      </c>
      <c r="T485" s="617">
        <v>250740.26757498953</v>
      </c>
      <c r="U485" s="617">
        <v>254298.19067389148</v>
      </c>
      <c r="V485" s="617">
        <v>257856.11377279341</v>
      </c>
      <c r="W485" s="617">
        <v>261414.03687169537</v>
      </c>
      <c r="X485" s="617">
        <v>265535.61951508373</v>
      </c>
      <c r="Y485" s="617">
        <v>269657.20215847209</v>
      </c>
      <c r="Z485" s="617">
        <v>273778.7848018604</v>
      </c>
      <c r="AA485" s="617">
        <v>277900.36744524876</v>
      </c>
      <c r="AB485" s="304">
        <v>282021.95008863712</v>
      </c>
      <c r="AC485" s="304"/>
      <c r="AD485" s="304"/>
      <c r="AE485" s="304"/>
      <c r="AF485" s="304"/>
      <c r="AG485" s="304"/>
      <c r="AH485" s="304"/>
      <c r="AI485" s="304"/>
      <c r="AJ485" s="304"/>
      <c r="AK485" s="304"/>
      <c r="AL485" s="304"/>
      <c r="AM485" s="304"/>
      <c r="AN485" s="304"/>
      <c r="AO485" s="304"/>
      <c r="AP485" s="163"/>
    </row>
    <row r="486" spans="2:42" x14ac:dyDescent="0.3">
      <c r="B486" s="6"/>
      <c r="C486" s="6"/>
      <c r="D486" s="6">
        <f t="shared" si="33"/>
        <v>12</v>
      </c>
      <c r="E486" s="638" t="str">
        <f t="shared" si="35"/>
        <v>Distribution Capacity</v>
      </c>
      <c r="F486" s="303"/>
      <c r="G486" s="304"/>
      <c r="H486" s="304"/>
      <c r="I486" s="304">
        <v>67122.72445245742</v>
      </c>
      <c r="J486" s="304">
        <v>70500.195310233161</v>
      </c>
      <c r="K486" s="304">
        <v>63772.594592024834</v>
      </c>
      <c r="L486" s="617">
        <v>63588.834603506984</v>
      </c>
      <c r="M486" s="617">
        <v>63125.307659203761</v>
      </c>
      <c r="N486" s="617">
        <v>63197.246448118094</v>
      </c>
      <c r="O486" s="617">
        <v>63269.185237032427</v>
      </c>
      <c r="P486" s="617">
        <v>63341.124025946767</v>
      </c>
      <c r="Q486" s="617">
        <v>63413.062814861099</v>
      </c>
      <c r="R486" s="617">
        <v>63485.001603775432</v>
      </c>
      <c r="S486" s="617">
        <v>64404.135224340382</v>
      </c>
      <c r="T486" s="617">
        <v>65323.268844905331</v>
      </c>
      <c r="U486" s="617">
        <v>66242.402465470281</v>
      </c>
      <c r="V486" s="617">
        <v>67161.536086035223</v>
      </c>
      <c r="W486" s="617">
        <v>68080.66970660018</v>
      </c>
      <c r="X486" s="617">
        <v>68797.54762667224</v>
      </c>
      <c r="Y486" s="617">
        <v>69514.4255467443</v>
      </c>
      <c r="Z486" s="617">
        <v>70231.30346681636</v>
      </c>
      <c r="AA486" s="617">
        <v>70948.18138688842</v>
      </c>
      <c r="AB486" s="304">
        <v>71665.05930696048</v>
      </c>
      <c r="AC486" s="304"/>
      <c r="AD486" s="304"/>
      <c r="AE486" s="304"/>
      <c r="AF486" s="304"/>
      <c r="AG486" s="304"/>
      <c r="AH486" s="304"/>
      <c r="AI486" s="304"/>
      <c r="AJ486" s="304"/>
      <c r="AK486" s="304"/>
      <c r="AL486" s="304"/>
      <c r="AM486" s="304"/>
      <c r="AN486" s="304"/>
      <c r="AO486" s="304"/>
      <c r="AP486" s="163"/>
    </row>
    <row r="487" spans="2:42" x14ac:dyDescent="0.3">
      <c r="B487" s="6"/>
      <c r="C487" s="6"/>
      <c r="D487" s="6">
        <f t="shared" si="33"/>
        <v>12</v>
      </c>
      <c r="E487" s="638" t="str">
        <f t="shared" si="35"/>
        <v>GHG Impacts</v>
      </c>
      <c r="F487" s="303"/>
      <c r="G487" s="304"/>
      <c r="H487" s="304"/>
      <c r="I487" s="304">
        <v>521361.65425506886</v>
      </c>
      <c r="J487" s="304">
        <v>430902.21920195641</v>
      </c>
      <c r="K487" s="304">
        <v>148752.44991137757</v>
      </c>
      <c r="L487" s="617">
        <v>183576.86564915502</v>
      </c>
      <c r="M487" s="617">
        <v>229174.56884513437</v>
      </c>
      <c r="N487" s="617">
        <v>276464.41430288146</v>
      </c>
      <c r="O487" s="617">
        <v>323754.25976062857</v>
      </c>
      <c r="P487" s="617">
        <v>371044.10521837563</v>
      </c>
      <c r="Q487" s="617">
        <v>418333.95067612268</v>
      </c>
      <c r="R487" s="617">
        <v>465623.79613386979</v>
      </c>
      <c r="S487" s="617">
        <v>537256.00207543781</v>
      </c>
      <c r="T487" s="617">
        <v>608888.20801700582</v>
      </c>
      <c r="U487" s="617">
        <v>680520.41395857383</v>
      </c>
      <c r="V487" s="617">
        <v>752152.61990014184</v>
      </c>
      <c r="W487" s="617">
        <v>823784.82584170986</v>
      </c>
      <c r="X487" s="617">
        <v>893317.03664433863</v>
      </c>
      <c r="Y487" s="617">
        <v>962849.24744696752</v>
      </c>
      <c r="Z487" s="617">
        <v>1032381.4582495963</v>
      </c>
      <c r="AA487" s="617">
        <v>1101913.6690522251</v>
      </c>
      <c r="AB487" s="304">
        <v>1171445.879854854</v>
      </c>
      <c r="AC487" s="304"/>
      <c r="AD487" s="304"/>
      <c r="AE487" s="304"/>
      <c r="AF487" s="304"/>
      <c r="AG487" s="304"/>
      <c r="AH487" s="304"/>
      <c r="AI487" s="304"/>
      <c r="AJ487" s="304"/>
      <c r="AK487" s="304"/>
      <c r="AL487" s="304"/>
      <c r="AM487" s="304"/>
      <c r="AN487" s="304"/>
      <c r="AO487" s="304"/>
      <c r="AP487" s="163"/>
    </row>
    <row r="488" spans="2:42" x14ac:dyDescent="0.3">
      <c r="B488" s="6"/>
      <c r="C488" s="6"/>
      <c r="D488" s="6">
        <f t="shared" si="33"/>
        <v>12</v>
      </c>
      <c r="E488" s="638" t="str">
        <f t="shared" si="35"/>
        <v>Market Price Effects - Wholesale Energy</v>
      </c>
      <c r="F488" s="303"/>
      <c r="G488" s="304"/>
      <c r="H488" s="304"/>
      <c r="I488" s="304">
        <v>29632.317685168116</v>
      </c>
      <c r="J488" s="304">
        <v>66383.538620319028</v>
      </c>
      <c r="K488" s="304">
        <v>105497.81997399376</v>
      </c>
      <c r="L488" s="617">
        <v>102576.94368970327</v>
      </c>
      <c r="M488" s="617">
        <v>146330.42468931235</v>
      </c>
      <c r="N488" s="617">
        <v>133821.95940910623</v>
      </c>
      <c r="O488" s="617">
        <v>121313.49412890014</v>
      </c>
      <c r="P488" s="617">
        <v>108805.02884869404</v>
      </c>
      <c r="Q488" s="617">
        <v>96296.563568487938</v>
      </c>
      <c r="R488" s="617">
        <v>83788.098288281835</v>
      </c>
      <c r="S488" s="617">
        <v>101873.87369419544</v>
      </c>
      <c r="T488" s="617">
        <v>119959.64910010905</v>
      </c>
      <c r="U488" s="617">
        <v>138045.42450602265</v>
      </c>
      <c r="V488" s="617">
        <v>156131.19991193624</v>
      </c>
      <c r="W488" s="617">
        <v>174216.97531784986</v>
      </c>
      <c r="X488" s="617">
        <v>185627.52954742344</v>
      </c>
      <c r="Y488" s="617">
        <v>197038.08377699705</v>
      </c>
      <c r="Z488" s="617">
        <v>208448.63800657063</v>
      </c>
      <c r="AA488" s="617">
        <v>219859.19223614421</v>
      </c>
      <c r="AB488" s="304">
        <v>231269.74646571782</v>
      </c>
      <c r="AC488" s="304"/>
      <c r="AD488" s="304"/>
      <c r="AE488" s="304"/>
      <c r="AF488" s="304"/>
      <c r="AG488" s="304"/>
      <c r="AH488" s="304"/>
      <c r="AI488" s="304"/>
      <c r="AJ488" s="304"/>
      <c r="AK488" s="304"/>
      <c r="AL488" s="304"/>
      <c r="AM488" s="304"/>
      <c r="AN488" s="304"/>
      <c r="AO488" s="304"/>
      <c r="AP488" s="163"/>
    </row>
    <row r="489" spans="2:42" x14ac:dyDescent="0.3">
      <c r="B489" s="6"/>
      <c r="C489" s="6"/>
      <c r="D489" s="6">
        <f t="shared" si="33"/>
        <v>12</v>
      </c>
      <c r="E489" s="638" t="str">
        <f t="shared" si="35"/>
        <v>Market Price Effects - Wholesale Capacity</v>
      </c>
      <c r="F489" s="303"/>
      <c r="G489" s="304"/>
      <c r="H489" s="304"/>
      <c r="I489" s="304">
        <v>0</v>
      </c>
      <c r="J489" s="304">
        <v>0</v>
      </c>
      <c r="K489" s="304">
        <v>0</v>
      </c>
      <c r="L489" s="617">
        <v>0</v>
      </c>
      <c r="M489" s="617">
        <v>0</v>
      </c>
      <c r="N489" s="617">
        <v>0</v>
      </c>
      <c r="O489" s="617">
        <v>0</v>
      </c>
      <c r="P489" s="617">
        <v>0</v>
      </c>
      <c r="Q489" s="617">
        <v>0</v>
      </c>
      <c r="R489" s="617">
        <v>0</v>
      </c>
      <c r="S489" s="617">
        <v>0</v>
      </c>
      <c r="T489" s="617">
        <v>0</v>
      </c>
      <c r="U489" s="617">
        <v>0</v>
      </c>
      <c r="V489" s="617">
        <v>0</v>
      </c>
      <c r="W489" s="617">
        <v>0</v>
      </c>
      <c r="X489" s="617">
        <v>0</v>
      </c>
      <c r="Y489" s="617">
        <v>0</v>
      </c>
      <c r="Z489" s="617">
        <v>0</v>
      </c>
      <c r="AA489" s="617">
        <v>0</v>
      </c>
      <c r="AB489" s="304">
        <v>0</v>
      </c>
      <c r="AC489" s="304"/>
      <c r="AD489" s="304"/>
      <c r="AE489" s="304"/>
      <c r="AF489" s="304"/>
      <c r="AG489" s="304"/>
      <c r="AH489" s="304"/>
      <c r="AI489" s="304"/>
      <c r="AJ489" s="304"/>
      <c r="AK489" s="304"/>
      <c r="AL489" s="304"/>
      <c r="AM489" s="304"/>
      <c r="AN489" s="304"/>
      <c r="AO489" s="304"/>
      <c r="AP489" s="163"/>
    </row>
    <row r="490" spans="2:42" x14ac:dyDescent="0.3">
      <c r="B490" s="6"/>
      <c r="C490" s="6"/>
      <c r="D490" s="6">
        <f t="shared" si="33"/>
        <v>12</v>
      </c>
      <c r="E490" s="639" t="str">
        <f t="shared" si="35"/>
        <v>Avoided Cost of Participant Backup Generator</v>
      </c>
      <c r="F490" s="303"/>
      <c r="G490" s="303"/>
      <c r="H490" s="303"/>
      <c r="I490" s="303"/>
      <c r="J490" s="303"/>
      <c r="K490" s="303"/>
      <c r="L490" s="303"/>
      <c r="M490" s="303"/>
      <c r="N490" s="303"/>
      <c r="O490" s="303"/>
      <c r="P490" s="303"/>
      <c r="Q490" s="303"/>
      <c r="R490" s="303"/>
      <c r="S490" s="303"/>
      <c r="T490" s="303"/>
      <c r="U490" s="303"/>
      <c r="V490" s="303"/>
      <c r="W490" s="303"/>
      <c r="X490" s="303"/>
      <c r="Y490" s="303"/>
      <c r="Z490" s="303"/>
      <c r="AA490" s="303"/>
      <c r="AB490" s="303"/>
      <c r="AC490" s="303"/>
      <c r="AD490" s="303"/>
      <c r="AE490" s="303"/>
      <c r="AF490" s="303"/>
      <c r="AG490" s="303"/>
      <c r="AH490" s="303"/>
      <c r="AI490" s="303"/>
      <c r="AJ490" s="303"/>
      <c r="AK490" s="303"/>
      <c r="AL490" s="303"/>
      <c r="AM490" s="303"/>
      <c r="AN490" s="303"/>
      <c r="AO490" s="303"/>
      <c r="AP490" s="163"/>
    </row>
    <row r="491" spans="2:42" x14ac:dyDescent="0.3">
      <c r="B491" s="6"/>
      <c r="C491" s="6"/>
      <c r="D491" s="6">
        <f t="shared" si="33"/>
        <v>12</v>
      </c>
      <c r="E491" s="640" t="str">
        <f t="shared" si="35"/>
        <v>Full Eq DoD Cycle</v>
      </c>
      <c r="F491" s="303"/>
      <c r="G491" s="303"/>
      <c r="H491" s="310"/>
      <c r="I491" s="308">
        <v>365</v>
      </c>
      <c r="J491" s="308">
        <v>365</v>
      </c>
      <c r="K491" s="308">
        <v>365</v>
      </c>
      <c r="L491" s="618">
        <v>365</v>
      </c>
      <c r="M491" s="618">
        <v>365</v>
      </c>
      <c r="N491" s="618">
        <v>365</v>
      </c>
      <c r="O491" s="618">
        <v>365</v>
      </c>
      <c r="P491" s="618">
        <v>365</v>
      </c>
      <c r="Q491" s="618">
        <v>365</v>
      </c>
      <c r="R491" s="618">
        <v>365</v>
      </c>
      <c r="S491" s="618">
        <v>365</v>
      </c>
      <c r="T491" s="618">
        <v>365</v>
      </c>
      <c r="U491" s="618">
        <v>365</v>
      </c>
      <c r="V491" s="618">
        <v>365</v>
      </c>
      <c r="W491" s="618">
        <v>365</v>
      </c>
      <c r="X491" s="618">
        <v>365</v>
      </c>
      <c r="Y491" s="618">
        <v>365</v>
      </c>
      <c r="Z491" s="618">
        <v>365</v>
      </c>
      <c r="AA491" s="618">
        <v>365</v>
      </c>
      <c r="AB491" s="308">
        <v>365</v>
      </c>
      <c r="AC491" s="309"/>
      <c r="AD491" s="309"/>
      <c r="AE491" s="309"/>
      <c r="AF491" s="309"/>
      <c r="AG491" s="309"/>
      <c r="AH491" s="309"/>
      <c r="AI491" s="309"/>
      <c r="AJ491" s="309"/>
      <c r="AK491" s="309"/>
      <c r="AL491" s="309"/>
      <c r="AM491" s="309"/>
      <c r="AN491" s="309"/>
      <c r="AO491" s="309"/>
      <c r="AP491" s="163"/>
    </row>
    <row r="492" spans="2:42" x14ac:dyDescent="0.3">
      <c r="B492" s="6"/>
      <c r="C492" s="6"/>
      <c r="D492" s="6">
        <f t="shared" si="33"/>
        <v>12</v>
      </c>
      <c r="E492" s="640" t="str">
        <f t="shared" si="35"/>
        <v>Export MWh</v>
      </c>
      <c r="F492" s="303"/>
      <c r="G492" s="303"/>
      <c r="H492" s="310"/>
      <c r="I492" s="308"/>
      <c r="J492" s="308"/>
      <c r="K492" s="308"/>
      <c r="L492" s="618"/>
      <c r="M492" s="618"/>
      <c r="N492" s="618"/>
      <c r="O492" s="618"/>
      <c r="P492" s="618"/>
      <c r="Q492" s="618"/>
      <c r="R492" s="618"/>
      <c r="S492" s="618"/>
      <c r="T492" s="618"/>
      <c r="U492" s="618"/>
      <c r="V492" s="618"/>
      <c r="W492" s="618"/>
      <c r="X492" s="618"/>
      <c r="Y492" s="618"/>
      <c r="Z492" s="618"/>
      <c r="AA492" s="618"/>
      <c r="AB492" s="308"/>
      <c r="AC492" s="309"/>
      <c r="AD492" s="309"/>
      <c r="AE492" s="309"/>
      <c r="AF492" s="309"/>
      <c r="AG492" s="309"/>
      <c r="AH492" s="309"/>
      <c r="AI492" s="309"/>
      <c r="AJ492" s="309"/>
      <c r="AK492" s="309"/>
      <c r="AL492" s="309"/>
      <c r="AM492" s="309"/>
      <c r="AN492" s="309"/>
      <c r="AO492" s="309"/>
      <c r="AP492" s="163"/>
    </row>
    <row r="493" spans="2:42" x14ac:dyDescent="0.3">
      <c r="B493" s="6"/>
      <c r="C493" s="6"/>
      <c r="D493" s="6">
        <f t="shared" si="33"/>
        <v>12</v>
      </c>
      <c r="E493" s="640" t="str">
        <f t="shared" si="35"/>
        <v>Charge MWh</v>
      </c>
      <c r="F493" s="303"/>
      <c r="G493" s="303"/>
      <c r="H493" s="310"/>
      <c r="I493" s="311"/>
      <c r="J493" s="311"/>
      <c r="K493" s="311"/>
      <c r="L493" s="619"/>
      <c r="M493" s="619"/>
      <c r="N493" s="619"/>
      <c r="O493" s="619"/>
      <c r="P493" s="619"/>
      <c r="Q493" s="619"/>
      <c r="R493" s="619"/>
      <c r="S493" s="619"/>
      <c r="T493" s="619"/>
      <c r="U493" s="619"/>
      <c r="V493" s="619"/>
      <c r="W493" s="619"/>
      <c r="X493" s="619"/>
      <c r="Y493" s="619"/>
      <c r="Z493" s="619"/>
      <c r="AA493" s="619"/>
      <c r="AB493" s="311"/>
      <c r="AC493" s="313"/>
      <c r="AD493" s="313"/>
      <c r="AE493" s="313"/>
      <c r="AF493" s="313"/>
      <c r="AG493" s="313"/>
      <c r="AH493" s="313"/>
      <c r="AI493" s="313"/>
      <c r="AJ493" s="313"/>
      <c r="AK493" s="313"/>
      <c r="AL493" s="313"/>
      <c r="AM493" s="313"/>
      <c r="AN493" s="313"/>
      <c r="AO493" s="313"/>
      <c r="AP493" s="163"/>
    </row>
    <row r="494" spans="2:42" x14ac:dyDescent="0.3">
      <c r="B494" s="6"/>
      <c r="C494" s="6"/>
      <c r="D494" s="6">
        <f t="shared" si="33"/>
        <v>12</v>
      </c>
      <c r="E494" s="641" t="str">
        <f t="shared" si="35"/>
        <v>Total ESS Charge MWh</v>
      </c>
      <c r="F494" s="303"/>
      <c r="G494" s="303"/>
      <c r="H494" s="310"/>
      <c r="I494" s="308">
        <v>8588.2352941176905</v>
      </c>
      <c r="J494" s="308">
        <v>8588.2352944545692</v>
      </c>
      <c r="K494" s="308">
        <v>8588.235294416696</v>
      </c>
      <c r="L494" s="618">
        <v>8588.2352941177196</v>
      </c>
      <c r="M494" s="618">
        <v>8588.2352833940658</v>
      </c>
      <c r="N494" s="618">
        <v>8588.2352847262609</v>
      </c>
      <c r="O494" s="618">
        <v>8588.235286058456</v>
      </c>
      <c r="P494" s="618">
        <v>8588.2352873906511</v>
      </c>
      <c r="Q494" s="618">
        <v>8588.2352887228462</v>
      </c>
      <c r="R494" s="618">
        <v>8588.2352900550413</v>
      </c>
      <c r="S494" s="618">
        <v>8588.2352907832337</v>
      </c>
      <c r="T494" s="618">
        <v>8588.2352915114279</v>
      </c>
      <c r="U494" s="618">
        <v>8588.2352922396203</v>
      </c>
      <c r="V494" s="618">
        <v>8588.2352929678145</v>
      </c>
      <c r="W494" s="618">
        <v>8588.2352936960069</v>
      </c>
      <c r="X494" s="618">
        <v>8588.2352935654908</v>
      </c>
      <c r="Y494" s="618">
        <v>8588.2352934349747</v>
      </c>
      <c r="Z494" s="618">
        <v>8588.2352933044604</v>
      </c>
      <c r="AA494" s="618">
        <v>8588.2352931739442</v>
      </c>
      <c r="AB494" s="308">
        <v>8588.2352930434281</v>
      </c>
      <c r="AC494" s="309"/>
      <c r="AD494" s="309"/>
      <c r="AE494" s="309"/>
      <c r="AF494" s="309"/>
      <c r="AG494" s="309"/>
      <c r="AH494" s="309"/>
      <c r="AI494" s="309"/>
      <c r="AJ494" s="309"/>
      <c r="AK494" s="309"/>
      <c r="AL494" s="309"/>
      <c r="AM494" s="309"/>
      <c r="AN494" s="309"/>
      <c r="AO494" s="309"/>
      <c r="AP494" s="163"/>
    </row>
    <row r="495" spans="2:42" x14ac:dyDescent="0.3">
      <c r="B495" s="6"/>
      <c r="C495" s="6"/>
      <c r="D495" s="6">
        <f t="shared" si="33"/>
        <v>12</v>
      </c>
      <c r="E495" s="642" t="str">
        <f t="shared" si="35"/>
        <v>Avg Generation Capacity</v>
      </c>
      <c r="F495" s="303"/>
      <c r="G495" s="303"/>
      <c r="H495" s="310"/>
      <c r="I495" s="308">
        <v>0</v>
      </c>
      <c r="J495" s="308">
        <v>0</v>
      </c>
      <c r="K495" s="308">
        <v>0</v>
      </c>
      <c r="L495" s="308">
        <v>0</v>
      </c>
      <c r="M495" s="308">
        <v>0</v>
      </c>
      <c r="N495" s="308">
        <v>0</v>
      </c>
      <c r="O495" s="308">
        <v>0</v>
      </c>
      <c r="P495" s="308">
        <v>0</v>
      </c>
      <c r="Q495" s="308">
        <v>0</v>
      </c>
      <c r="R495" s="308">
        <v>0</v>
      </c>
      <c r="S495" s="308">
        <v>1.778120172489926E-3</v>
      </c>
      <c r="T495" s="308">
        <v>3.556240344979852E-3</v>
      </c>
      <c r="U495" s="308">
        <v>5.3343605174697786E-3</v>
      </c>
      <c r="V495" s="308">
        <v>5.9270672416330862E-3</v>
      </c>
      <c r="W495" s="308">
        <v>7.4088340520413586E-3</v>
      </c>
      <c r="X495" s="308">
        <v>5.9270672416330862E-3</v>
      </c>
      <c r="Y495" s="308">
        <v>4.4453004312248155E-3</v>
      </c>
      <c r="Z495" s="308">
        <v>2.9635336208165431E-3</v>
      </c>
      <c r="AA495" s="308">
        <v>1.481766810408272E-3</v>
      </c>
      <c r="AB495" s="308">
        <v>0</v>
      </c>
      <c r="AC495" s="309"/>
      <c r="AD495" s="309"/>
      <c r="AE495" s="309"/>
      <c r="AF495" s="309"/>
      <c r="AG495" s="309"/>
      <c r="AH495" s="309"/>
      <c r="AI495" s="309"/>
      <c r="AJ495" s="309"/>
      <c r="AK495" s="309"/>
      <c r="AL495" s="309"/>
      <c r="AM495" s="309"/>
      <c r="AN495" s="309"/>
      <c r="AO495" s="309"/>
      <c r="AP495" s="163"/>
    </row>
    <row r="496" spans="2:42" x14ac:dyDescent="0.3">
      <c r="B496" s="6"/>
      <c r="C496" s="6"/>
      <c r="D496" s="6">
        <f t="shared" si="33"/>
        <v>12</v>
      </c>
      <c r="E496" s="642" t="str">
        <f t="shared" si="35"/>
        <v>Avg Transmission Capacity</v>
      </c>
      <c r="F496" s="303"/>
      <c r="G496" s="303"/>
      <c r="H496" s="310"/>
      <c r="I496" s="308">
        <v>0</v>
      </c>
      <c r="J496" s="308">
        <v>0</v>
      </c>
      <c r="K496" s="308">
        <v>0</v>
      </c>
      <c r="L496" s="308">
        <v>0</v>
      </c>
      <c r="M496" s="308">
        <v>0</v>
      </c>
      <c r="N496" s="308">
        <v>0</v>
      </c>
      <c r="O496" s="308">
        <v>0</v>
      </c>
      <c r="P496" s="308">
        <v>0</v>
      </c>
      <c r="Q496" s="308">
        <v>0</v>
      </c>
      <c r="R496" s="308">
        <v>0</v>
      </c>
      <c r="S496" s="308">
        <v>1.778120172489926E-3</v>
      </c>
      <c r="T496" s="308">
        <v>3.556240344979852E-3</v>
      </c>
      <c r="U496" s="308">
        <v>5.3343605174697786E-3</v>
      </c>
      <c r="V496" s="308">
        <v>5.9270672416330862E-3</v>
      </c>
      <c r="W496" s="308">
        <v>7.4088340520413586E-3</v>
      </c>
      <c r="X496" s="308">
        <v>5.9270672416330862E-3</v>
      </c>
      <c r="Y496" s="308">
        <v>4.4453004312248155E-3</v>
      </c>
      <c r="Z496" s="308">
        <v>2.9635336208165431E-3</v>
      </c>
      <c r="AA496" s="308">
        <v>1.481766810408272E-3</v>
      </c>
      <c r="AB496" s="308">
        <v>0</v>
      </c>
      <c r="AC496" s="309"/>
      <c r="AD496" s="309"/>
      <c r="AE496" s="309"/>
      <c r="AF496" s="309"/>
      <c r="AG496" s="309"/>
      <c r="AH496" s="309"/>
      <c r="AI496" s="309"/>
      <c r="AJ496" s="309"/>
      <c r="AK496" s="309"/>
      <c r="AL496" s="309"/>
      <c r="AM496" s="309"/>
      <c r="AN496" s="309"/>
      <c r="AO496" s="309"/>
      <c r="AP496" s="163"/>
    </row>
    <row r="497" spans="2:42" x14ac:dyDescent="0.3">
      <c r="B497" s="6"/>
      <c r="C497" s="6"/>
      <c r="D497" s="6">
        <f t="shared" si="33"/>
        <v>12</v>
      </c>
      <c r="E497" s="642" t="str">
        <f t="shared" si="35"/>
        <v>Avg Distribution Capacity</v>
      </c>
      <c r="F497" s="303"/>
      <c r="G497" s="303"/>
      <c r="H497" s="310"/>
      <c r="I497" s="308">
        <v>3.125E-2</v>
      </c>
      <c r="J497" s="308">
        <v>0</v>
      </c>
      <c r="K497" s="308">
        <v>4.4117647058823537E-3</v>
      </c>
      <c r="L497" s="618">
        <v>0.05</v>
      </c>
      <c r="M497" s="618">
        <v>0</v>
      </c>
      <c r="N497" s="618">
        <v>0.01</v>
      </c>
      <c r="O497" s="618">
        <v>0.02</v>
      </c>
      <c r="P497" s="618">
        <v>0.03</v>
      </c>
      <c r="Q497" s="618">
        <v>0.04</v>
      </c>
      <c r="R497" s="618">
        <v>0.05</v>
      </c>
      <c r="S497" s="618">
        <v>5.034220897545949E-2</v>
      </c>
      <c r="T497" s="618">
        <v>5.0684417950918978E-2</v>
      </c>
      <c r="U497" s="618">
        <v>5.1026626926378479E-2</v>
      </c>
      <c r="V497" s="618">
        <v>4.2807363251531644E-2</v>
      </c>
      <c r="W497" s="618">
        <v>4.3092537397747883E-2</v>
      </c>
      <c r="X497" s="618">
        <v>4.333584242287479E-2</v>
      </c>
      <c r="Y497" s="618">
        <v>4.3579147448001697E-2</v>
      </c>
      <c r="Z497" s="618">
        <v>4.3822452473128597E-2</v>
      </c>
      <c r="AA497" s="618">
        <v>4.4065757498255503E-2</v>
      </c>
      <c r="AB497" s="308">
        <v>4.430906252338241E-2</v>
      </c>
      <c r="AC497" s="309"/>
      <c r="AD497" s="309"/>
      <c r="AE497" s="309"/>
      <c r="AF497" s="309"/>
      <c r="AG497" s="309"/>
      <c r="AH497" s="309"/>
      <c r="AI497" s="309"/>
      <c r="AJ497" s="309"/>
      <c r="AK497" s="309"/>
      <c r="AL497" s="309"/>
      <c r="AM497" s="309"/>
      <c r="AN497" s="309"/>
      <c r="AO497" s="309"/>
      <c r="AP497" s="163"/>
    </row>
    <row r="498" spans="2:42" x14ac:dyDescent="0.3">
      <c r="B498" s="6"/>
      <c r="C498" s="6"/>
      <c r="D498" s="6">
        <f t="shared" si="33"/>
        <v>12</v>
      </c>
      <c r="E498" s="642" t="str">
        <f t="shared" si="35"/>
        <v>GHG Impacts</v>
      </c>
      <c r="F498" s="303"/>
      <c r="G498" s="303"/>
      <c r="H498" s="310"/>
      <c r="I498" s="308">
        <v>8583.4457084914902</v>
      </c>
      <c r="J498" s="308">
        <v>8551.5943230117773</v>
      </c>
      <c r="K498" s="308">
        <v>8492.2352944166705</v>
      </c>
      <c r="L498" s="618">
        <v>8324.1363339114632</v>
      </c>
      <c r="M498" s="618">
        <v>7966.0790187900548</v>
      </c>
      <c r="N498" s="618">
        <v>7477.9355394138147</v>
      </c>
      <c r="O498" s="618">
        <v>6989.7920600375746</v>
      </c>
      <c r="P498" s="618">
        <v>6501.6485806613346</v>
      </c>
      <c r="Q498" s="618">
        <v>6013.5051012850945</v>
      </c>
      <c r="R498" s="618">
        <v>5525.3616219088544</v>
      </c>
      <c r="S498" s="618">
        <v>5102.8081761470594</v>
      </c>
      <c r="T498" s="618">
        <v>4680.2547303852634</v>
      </c>
      <c r="U498" s="618">
        <v>4257.7012846234684</v>
      </c>
      <c r="V498" s="618">
        <v>3835.1478388616729</v>
      </c>
      <c r="W498" s="618">
        <v>3412.5943930998774</v>
      </c>
      <c r="X498" s="618">
        <v>3123.3198561460408</v>
      </c>
      <c r="Y498" s="618">
        <v>2834.0453191922047</v>
      </c>
      <c r="Z498" s="618">
        <v>2544.7707822383682</v>
      </c>
      <c r="AA498" s="618">
        <v>2255.4962452845321</v>
      </c>
      <c r="AB498" s="308">
        <v>1966.2217083306955</v>
      </c>
      <c r="AC498" s="309"/>
      <c r="AD498" s="309"/>
      <c r="AE498" s="309"/>
      <c r="AF498" s="309"/>
      <c r="AG498" s="309"/>
      <c r="AH498" s="309"/>
      <c r="AI498" s="309"/>
      <c r="AJ498" s="309"/>
      <c r="AK498" s="309"/>
      <c r="AL498" s="309"/>
      <c r="AM498" s="309"/>
      <c r="AN498" s="309"/>
      <c r="AO498" s="309"/>
      <c r="AP498" s="163"/>
    </row>
    <row r="499" spans="2:42" x14ac:dyDescent="0.3">
      <c r="B499" s="6"/>
      <c r="C499" s="6"/>
      <c r="D499" s="6">
        <f t="shared" si="33"/>
        <v>12</v>
      </c>
      <c r="E499" s="642" t="str">
        <f t="shared" si="35"/>
        <v>Market Price Effects - Wholesale Energy</v>
      </c>
      <c r="F499" s="303"/>
      <c r="G499" s="303"/>
      <c r="H499" s="310"/>
      <c r="I499" s="308">
        <v>8588.2352941176741</v>
      </c>
      <c r="J499" s="308">
        <v>8588.2352944545783</v>
      </c>
      <c r="K499" s="308">
        <v>8588.2352944166705</v>
      </c>
      <c r="L499" s="618">
        <v>8588.2352941176905</v>
      </c>
      <c r="M499" s="618">
        <v>8588.2352833941077</v>
      </c>
      <c r="N499" s="618">
        <v>8588.2352847262937</v>
      </c>
      <c r="O499" s="618">
        <v>8588.2352860584797</v>
      </c>
      <c r="P499" s="618">
        <v>8588.2352873906675</v>
      </c>
      <c r="Q499" s="618">
        <v>8588.2352887228535</v>
      </c>
      <c r="R499" s="618">
        <v>8588.2352900550395</v>
      </c>
      <c r="S499" s="618">
        <v>8588.2352907832374</v>
      </c>
      <c r="T499" s="618">
        <v>8588.2352915114334</v>
      </c>
      <c r="U499" s="618">
        <v>8588.2352922396312</v>
      </c>
      <c r="V499" s="618">
        <v>8588.2352929678273</v>
      </c>
      <c r="W499" s="618">
        <v>8588.2352936960251</v>
      </c>
      <c r="X499" s="618">
        <v>8588.2352935654962</v>
      </c>
      <c r="Y499" s="618">
        <v>8588.2352934349674</v>
      </c>
      <c r="Z499" s="618">
        <v>8588.2352933044403</v>
      </c>
      <c r="AA499" s="618">
        <v>8588.2352931739115</v>
      </c>
      <c r="AB499" s="308">
        <v>8588.2352930433826</v>
      </c>
      <c r="AC499" s="309"/>
      <c r="AD499" s="309"/>
      <c r="AE499" s="309"/>
      <c r="AF499" s="309"/>
      <c r="AG499" s="309"/>
      <c r="AH499" s="309"/>
      <c r="AI499" s="309"/>
      <c r="AJ499" s="309"/>
      <c r="AK499" s="309"/>
      <c r="AL499" s="309"/>
      <c r="AM499" s="309"/>
      <c r="AN499" s="309"/>
      <c r="AO499" s="309"/>
      <c r="AP499" s="163"/>
    </row>
    <row r="500" spans="2:42" x14ac:dyDescent="0.3">
      <c r="B500" s="6"/>
      <c r="C500" s="6"/>
      <c r="D500" s="6">
        <f t="shared" si="33"/>
        <v>12</v>
      </c>
      <c r="E500" s="643" t="str">
        <f t="shared" si="35"/>
        <v>Market Price Effects - Wholesale Capacity</v>
      </c>
      <c r="F500" s="303"/>
      <c r="I500" s="308">
        <v>0</v>
      </c>
      <c r="J500" s="308">
        <v>0</v>
      </c>
      <c r="K500" s="308">
        <v>0</v>
      </c>
      <c r="L500" s="618">
        <v>0</v>
      </c>
      <c r="M500" s="618">
        <v>0</v>
      </c>
      <c r="N500" s="618">
        <v>0</v>
      </c>
      <c r="O500" s="618">
        <v>0</v>
      </c>
      <c r="P500" s="618">
        <v>0</v>
      </c>
      <c r="Q500" s="618">
        <v>0</v>
      </c>
      <c r="R500" s="618">
        <v>0</v>
      </c>
      <c r="S500" s="618">
        <v>0</v>
      </c>
      <c r="T500" s="618">
        <v>0</v>
      </c>
      <c r="U500" s="618">
        <v>0</v>
      </c>
      <c r="V500" s="618">
        <v>0</v>
      </c>
      <c r="W500" s="618">
        <v>0</v>
      </c>
      <c r="X500" s="618">
        <v>0</v>
      </c>
      <c r="Y500" s="618">
        <v>0</v>
      </c>
      <c r="Z500" s="618">
        <v>0</v>
      </c>
      <c r="AA500" s="618">
        <v>0</v>
      </c>
      <c r="AB500" s="308">
        <v>0</v>
      </c>
      <c r="AC500" s="309"/>
      <c r="AD500" s="309"/>
      <c r="AE500" s="309"/>
      <c r="AF500" s="309"/>
      <c r="AG500" s="309"/>
      <c r="AH500" s="309"/>
      <c r="AI500" s="309"/>
      <c r="AJ500" s="309"/>
      <c r="AK500" s="309"/>
      <c r="AL500" s="309"/>
      <c r="AM500" s="309"/>
      <c r="AN500" s="309"/>
      <c r="AO500" s="309"/>
      <c r="AP500" s="163"/>
    </row>
    <row r="501" spans="2:42" x14ac:dyDescent="0.3">
      <c r="B501" s="6"/>
      <c r="C501" s="6"/>
      <c r="D501" s="6">
        <f t="shared" si="33"/>
        <v>12</v>
      </c>
      <c r="E501" s="640" t="str">
        <f t="shared" si="35"/>
        <v>Disharge MWh</v>
      </c>
      <c r="I501" s="505"/>
      <c r="J501" s="505"/>
      <c r="K501" s="505"/>
      <c r="L501" s="505"/>
      <c r="M501" s="505"/>
      <c r="N501" s="505"/>
      <c r="O501" s="505"/>
      <c r="P501" s="505"/>
      <c r="Q501" s="505"/>
      <c r="R501" s="505"/>
      <c r="S501" s="505"/>
      <c r="T501" s="505"/>
      <c r="U501" s="505"/>
      <c r="V501" s="505"/>
      <c r="W501" s="505"/>
      <c r="X501" s="505"/>
      <c r="Y501" s="505"/>
      <c r="Z501" s="505"/>
      <c r="AA501" s="505"/>
      <c r="AB501" s="505"/>
      <c r="AC501" s="15"/>
      <c r="AD501" s="15"/>
      <c r="AE501" s="15"/>
      <c r="AF501" s="15"/>
      <c r="AG501" s="15"/>
      <c r="AH501" s="15"/>
      <c r="AI501" s="15"/>
      <c r="AJ501" s="15"/>
      <c r="AK501" s="15"/>
      <c r="AL501" s="15"/>
      <c r="AM501" s="15"/>
      <c r="AN501" s="15"/>
      <c r="AO501" s="15"/>
      <c r="AP501" s="163"/>
    </row>
    <row r="502" spans="2:42" x14ac:dyDescent="0.3">
      <c r="B502" s="6"/>
      <c r="C502" s="6"/>
      <c r="D502" s="6">
        <f t="shared" si="33"/>
        <v>12</v>
      </c>
      <c r="E502" s="641" t="str">
        <f t="shared" si="35"/>
        <v>Total ESS DCharge MWh</v>
      </c>
      <c r="I502" s="308">
        <v>7299.9999999999964</v>
      </c>
      <c r="J502" s="308">
        <v>7300.0000022503427</v>
      </c>
      <c r="K502" s="308">
        <v>7300.0000084774201</v>
      </c>
      <c r="L502" s="618">
        <v>7300.0000000000418</v>
      </c>
      <c r="M502" s="618">
        <v>7300.0000006176833</v>
      </c>
      <c r="N502" s="618">
        <v>7300.0000004374815</v>
      </c>
      <c r="O502" s="618">
        <v>7300.0000002572806</v>
      </c>
      <c r="P502" s="618">
        <v>7300.0000000770788</v>
      </c>
      <c r="Q502" s="618">
        <v>7299.9999998968779</v>
      </c>
      <c r="R502" s="618">
        <v>7299.999999716676</v>
      </c>
      <c r="S502" s="618">
        <v>7299.9999997052691</v>
      </c>
      <c r="T502" s="618">
        <v>7299.9999996938623</v>
      </c>
      <c r="U502" s="618">
        <v>7299.9999996824545</v>
      </c>
      <c r="V502" s="618">
        <v>7299.9999996710476</v>
      </c>
      <c r="W502" s="618">
        <v>7299.9999996596407</v>
      </c>
      <c r="X502" s="618">
        <v>7299.9999997277091</v>
      </c>
      <c r="Y502" s="618">
        <v>7299.9999997957775</v>
      </c>
      <c r="Z502" s="618">
        <v>7299.9999998638468</v>
      </c>
      <c r="AA502" s="618">
        <v>7299.9999999319152</v>
      </c>
      <c r="AB502" s="308">
        <v>7299.9999999999836</v>
      </c>
      <c r="AC502" s="309"/>
      <c r="AD502" s="309"/>
      <c r="AE502" s="309"/>
      <c r="AF502" s="309"/>
      <c r="AG502" s="309"/>
      <c r="AH502" s="309"/>
      <c r="AI502" s="309"/>
      <c r="AJ502" s="309"/>
      <c r="AK502" s="309"/>
      <c r="AL502" s="309"/>
      <c r="AM502" s="309"/>
      <c r="AN502" s="309"/>
      <c r="AO502" s="309"/>
      <c r="AP502" s="163"/>
    </row>
    <row r="503" spans="2:42" x14ac:dyDescent="0.3">
      <c r="B503" s="6"/>
      <c r="C503" s="6"/>
      <c r="D503" s="6">
        <f t="shared" si="33"/>
        <v>12</v>
      </c>
      <c r="E503" s="642" t="str">
        <f t="shared" si="35"/>
        <v>Avg Generation Capacity</v>
      </c>
      <c r="F503" s="303"/>
      <c r="I503" s="308">
        <v>4.8817386594544505</v>
      </c>
      <c r="J503" s="308">
        <v>4.8332051744802049</v>
      </c>
      <c r="K503" s="308">
        <v>3.971563394528689</v>
      </c>
      <c r="L503" s="618">
        <v>3.9706754714787542</v>
      </c>
      <c r="M503" s="618">
        <v>3.9262695365758469</v>
      </c>
      <c r="N503" s="618">
        <v>3.935400104691376</v>
      </c>
      <c r="O503" s="618">
        <v>3.9445306728069052</v>
      </c>
      <c r="P503" s="618">
        <v>3.9536612409224334</v>
      </c>
      <c r="Q503" s="618">
        <v>3.9627918090379626</v>
      </c>
      <c r="R503" s="618">
        <v>3.9719223771534917</v>
      </c>
      <c r="S503" s="618">
        <v>3.9640423494236803</v>
      </c>
      <c r="T503" s="618">
        <v>3.9561623216938693</v>
      </c>
      <c r="U503" s="618">
        <v>3.9482822939640578</v>
      </c>
      <c r="V503" s="618">
        <v>3.2836685551952058</v>
      </c>
      <c r="W503" s="618">
        <v>3.277101865420363</v>
      </c>
      <c r="X503" s="618">
        <v>3.2409910295335709</v>
      </c>
      <c r="Y503" s="618">
        <v>3.2048801936467792</v>
      </c>
      <c r="Z503" s="618">
        <v>3.1687693577599876</v>
      </c>
      <c r="AA503" s="618">
        <v>3.1326585218731959</v>
      </c>
      <c r="AB503" s="308">
        <v>3.0965476859864038</v>
      </c>
      <c r="AC503" s="309"/>
      <c r="AD503" s="309"/>
      <c r="AE503" s="309"/>
      <c r="AF503" s="309"/>
      <c r="AG503" s="309"/>
      <c r="AH503" s="309"/>
      <c r="AI503" s="309"/>
      <c r="AJ503" s="309"/>
      <c r="AK503" s="309"/>
      <c r="AL503" s="309"/>
      <c r="AM503" s="309"/>
      <c r="AN503" s="309"/>
      <c r="AO503" s="309"/>
      <c r="AP503" s="163"/>
    </row>
    <row r="504" spans="2:42" x14ac:dyDescent="0.3">
      <c r="B504" s="6"/>
      <c r="C504" s="6"/>
      <c r="D504" s="6">
        <f t="shared" si="33"/>
        <v>12</v>
      </c>
      <c r="E504" s="642" t="str">
        <f t="shared" si="35"/>
        <v>Avg Transmission Capacity</v>
      </c>
      <c r="F504" s="303"/>
      <c r="I504" s="308">
        <v>4.8817386594544505</v>
      </c>
      <c r="J504" s="308">
        <v>4.8332051744802049</v>
      </c>
      <c r="K504" s="308">
        <v>3.971563394528689</v>
      </c>
      <c r="L504" s="618">
        <v>3.9706754714787542</v>
      </c>
      <c r="M504" s="618">
        <v>3.9262695365758469</v>
      </c>
      <c r="N504" s="618">
        <v>3.935400104691376</v>
      </c>
      <c r="O504" s="618">
        <v>3.9445306728069052</v>
      </c>
      <c r="P504" s="618">
        <v>3.9536612409224334</v>
      </c>
      <c r="Q504" s="618">
        <v>3.9627918090379626</v>
      </c>
      <c r="R504" s="618">
        <v>3.9719223771534917</v>
      </c>
      <c r="S504" s="618">
        <v>3.9640423494236803</v>
      </c>
      <c r="T504" s="618">
        <v>3.9561623216938693</v>
      </c>
      <c r="U504" s="618">
        <v>3.9482822939640578</v>
      </c>
      <c r="V504" s="618">
        <v>3.2836685551952058</v>
      </c>
      <c r="W504" s="618">
        <v>3.277101865420363</v>
      </c>
      <c r="X504" s="618">
        <v>3.2409910295335709</v>
      </c>
      <c r="Y504" s="618">
        <v>3.2048801936467792</v>
      </c>
      <c r="Z504" s="618">
        <v>3.1687693577599876</v>
      </c>
      <c r="AA504" s="618">
        <v>3.1326585218731959</v>
      </c>
      <c r="AB504" s="308">
        <v>3.0965476859864038</v>
      </c>
      <c r="AC504" s="309"/>
      <c r="AD504" s="309"/>
      <c r="AE504" s="309"/>
      <c r="AF504" s="309"/>
      <c r="AG504" s="309"/>
      <c r="AH504" s="309"/>
      <c r="AI504" s="309"/>
      <c r="AJ504" s="309"/>
      <c r="AK504" s="309"/>
      <c r="AL504" s="309"/>
      <c r="AM504" s="309"/>
      <c r="AN504" s="309"/>
      <c r="AO504" s="309"/>
      <c r="AP504" s="163"/>
    </row>
    <row r="505" spans="2:42" x14ac:dyDescent="0.3">
      <c r="B505" s="6"/>
      <c r="C505" s="6"/>
      <c r="D505" s="6">
        <f t="shared" si="33"/>
        <v>12</v>
      </c>
      <c r="E505" s="642" t="str">
        <f t="shared" si="35"/>
        <v>Avg Distribution Capacity</v>
      </c>
      <c r="F505" s="303"/>
      <c r="I505" s="308">
        <v>4.0959155406179351</v>
      </c>
      <c r="J505" s="308">
        <v>4.2691907520426593</v>
      </c>
      <c r="K505" s="308">
        <v>3.8662077479365813</v>
      </c>
      <c r="L505" s="618">
        <v>3.9006682630857599</v>
      </c>
      <c r="M505" s="618">
        <v>3.8225990508625318</v>
      </c>
      <c r="N505" s="618">
        <v>3.8369553566996255</v>
      </c>
      <c r="O505" s="618">
        <v>3.8513116625367196</v>
      </c>
      <c r="P505" s="618">
        <v>3.8656679683738138</v>
      </c>
      <c r="Q505" s="618">
        <v>3.8800242742109079</v>
      </c>
      <c r="R505" s="618">
        <v>3.8943805800480016</v>
      </c>
      <c r="S505" s="618">
        <v>3.8849282425098206</v>
      </c>
      <c r="T505" s="618">
        <v>3.8754759049716392</v>
      </c>
      <c r="U505" s="618">
        <v>3.8660235674334582</v>
      </c>
      <c r="V505" s="618">
        <v>3.2138093582460643</v>
      </c>
      <c r="W505" s="618">
        <v>3.2059324102975797</v>
      </c>
      <c r="X505" s="618">
        <v>3.1581388496385276</v>
      </c>
      <c r="Y505" s="618">
        <v>3.1103452889794756</v>
      </c>
      <c r="Z505" s="618">
        <v>3.0625517283204235</v>
      </c>
      <c r="AA505" s="618">
        <v>3.0147581676613715</v>
      </c>
      <c r="AB505" s="308">
        <v>2.9669646070023195</v>
      </c>
      <c r="AC505" s="309"/>
      <c r="AD505" s="309"/>
      <c r="AE505" s="309"/>
      <c r="AF505" s="309"/>
      <c r="AG505" s="309"/>
      <c r="AH505" s="309"/>
      <c r="AI505" s="309"/>
      <c r="AJ505" s="309"/>
      <c r="AK505" s="309"/>
      <c r="AL505" s="309"/>
      <c r="AM505" s="309"/>
      <c r="AN505" s="309"/>
      <c r="AO505" s="309"/>
      <c r="AP505" s="163"/>
    </row>
    <row r="506" spans="2:42" x14ac:dyDescent="0.3">
      <c r="B506" s="6"/>
      <c r="C506" s="6"/>
      <c r="D506" s="6">
        <f t="shared" si="33"/>
        <v>12</v>
      </c>
      <c r="E506" s="642" t="str">
        <f t="shared" si="35"/>
        <v>GHG Impacts</v>
      </c>
      <c r="F506" s="303"/>
      <c r="I506" s="308">
        <v>7300.0000000000227</v>
      </c>
      <c r="J506" s="308">
        <v>7300.00000225037</v>
      </c>
      <c r="K506" s="308">
        <v>7300.0000084774101</v>
      </c>
      <c r="L506" s="618">
        <v>7299.7286715565633</v>
      </c>
      <c r="M506" s="618">
        <v>7299.469822037212</v>
      </c>
      <c r="N506" s="618">
        <v>7298.1409846714278</v>
      </c>
      <c r="O506" s="618">
        <v>7296.8121473056444</v>
      </c>
      <c r="P506" s="618">
        <v>7295.4833099398602</v>
      </c>
      <c r="Q506" s="618">
        <v>7294.1544725740769</v>
      </c>
      <c r="R506" s="618">
        <v>7292.8256352082926</v>
      </c>
      <c r="S506" s="618">
        <v>7277.5000285712104</v>
      </c>
      <c r="T506" s="618">
        <v>7262.1744219341272</v>
      </c>
      <c r="U506" s="618">
        <v>7246.8488152970449</v>
      </c>
      <c r="V506" s="618">
        <v>7231.5232086599617</v>
      </c>
      <c r="W506" s="618">
        <v>7216.1976020228794</v>
      </c>
      <c r="X506" s="618">
        <v>7184.5208822316627</v>
      </c>
      <c r="Y506" s="618">
        <v>7152.8441624404459</v>
      </c>
      <c r="Z506" s="618">
        <v>7121.16744264923</v>
      </c>
      <c r="AA506" s="618">
        <v>7089.4907228580132</v>
      </c>
      <c r="AB506" s="308">
        <v>7057.8140030667964</v>
      </c>
      <c r="AC506" s="309"/>
      <c r="AD506" s="309"/>
      <c r="AE506" s="309"/>
      <c r="AF506" s="309"/>
      <c r="AG506" s="309"/>
      <c r="AH506" s="309"/>
      <c r="AI506" s="309"/>
      <c r="AJ506" s="309"/>
      <c r="AK506" s="309"/>
      <c r="AL506" s="309"/>
      <c r="AM506" s="309"/>
      <c r="AN506" s="309"/>
      <c r="AO506" s="309"/>
      <c r="AP506" s="163"/>
    </row>
    <row r="507" spans="2:42" x14ac:dyDescent="0.3">
      <c r="B507" s="6"/>
      <c r="C507" s="6"/>
      <c r="D507" s="6">
        <f t="shared" si="33"/>
        <v>12</v>
      </c>
      <c r="E507" s="642" t="str">
        <f t="shared" si="35"/>
        <v>Market Price Effects - Wholesale Energy</v>
      </c>
      <c r="F507" s="303"/>
      <c r="I507" s="308">
        <v>7300.0000000000218</v>
      </c>
      <c r="J507" s="308">
        <v>7300.00000225037</v>
      </c>
      <c r="K507" s="308">
        <v>7300.0000084774092</v>
      </c>
      <c r="L507" s="618">
        <v>7300.0000000000364</v>
      </c>
      <c r="M507" s="618">
        <v>7300.0000006176697</v>
      </c>
      <c r="N507" s="618">
        <v>7300.0000004374697</v>
      </c>
      <c r="O507" s="618">
        <v>7300.0000002572688</v>
      </c>
      <c r="P507" s="618">
        <v>7300.0000000770688</v>
      </c>
      <c r="Q507" s="618">
        <v>7299.9999998968678</v>
      </c>
      <c r="R507" s="618">
        <v>7299.9999997166678</v>
      </c>
      <c r="S507" s="618">
        <v>7299.9999997052637</v>
      </c>
      <c r="T507" s="618">
        <v>7299.9999996938586</v>
      </c>
      <c r="U507" s="618">
        <v>7299.9999996824545</v>
      </c>
      <c r="V507" s="618">
        <v>7299.9999996710494</v>
      </c>
      <c r="W507" s="618">
        <v>7299.9999996596453</v>
      </c>
      <c r="X507" s="618">
        <v>7299.9999997277137</v>
      </c>
      <c r="Y507" s="618">
        <v>7299.9999997957812</v>
      </c>
      <c r="Z507" s="618">
        <v>7299.9999998638496</v>
      </c>
      <c r="AA507" s="618">
        <v>7299.999999931917</v>
      </c>
      <c r="AB507" s="308">
        <v>7299.9999999999854</v>
      </c>
      <c r="AC507" s="309"/>
      <c r="AD507" s="309"/>
      <c r="AE507" s="309"/>
      <c r="AF507" s="309"/>
      <c r="AG507" s="309"/>
      <c r="AH507" s="309"/>
      <c r="AI507" s="309"/>
      <c r="AJ507" s="309"/>
      <c r="AK507" s="309"/>
      <c r="AL507" s="309"/>
      <c r="AM507" s="309"/>
      <c r="AN507" s="309"/>
      <c r="AO507" s="309"/>
      <c r="AP507" s="163"/>
    </row>
    <row r="508" spans="2:42" x14ac:dyDescent="0.3">
      <c r="B508" s="6"/>
      <c r="C508" s="6"/>
      <c r="D508" s="6">
        <f t="shared" si="33"/>
        <v>12</v>
      </c>
      <c r="E508" s="642" t="str">
        <f t="shared" si="35"/>
        <v>Market Price Effects - Wholesale Capacity</v>
      </c>
      <c r="F508" s="303"/>
      <c r="I508" s="308">
        <v>0</v>
      </c>
      <c r="J508" s="308">
        <v>0</v>
      </c>
      <c r="K508" s="308">
        <v>0</v>
      </c>
      <c r="L508" s="618">
        <v>0</v>
      </c>
      <c r="M508" s="618">
        <v>0</v>
      </c>
      <c r="N508" s="618">
        <v>0</v>
      </c>
      <c r="O508" s="618">
        <v>0</v>
      </c>
      <c r="P508" s="618">
        <v>0</v>
      </c>
      <c r="Q508" s="618">
        <v>0</v>
      </c>
      <c r="R508" s="618">
        <v>0</v>
      </c>
      <c r="S508" s="618">
        <v>0</v>
      </c>
      <c r="T508" s="618">
        <v>0</v>
      </c>
      <c r="U508" s="618">
        <v>0</v>
      </c>
      <c r="V508" s="618">
        <v>0</v>
      </c>
      <c r="W508" s="618">
        <v>0</v>
      </c>
      <c r="X508" s="618">
        <v>0</v>
      </c>
      <c r="Y508" s="618">
        <v>0</v>
      </c>
      <c r="Z508" s="618">
        <v>0</v>
      </c>
      <c r="AA508" s="618">
        <v>0</v>
      </c>
      <c r="AB508" s="308">
        <v>0</v>
      </c>
      <c r="AC508" s="309"/>
      <c r="AD508" s="309"/>
      <c r="AE508" s="309"/>
      <c r="AF508" s="309"/>
      <c r="AG508" s="309"/>
      <c r="AH508" s="309"/>
      <c r="AI508" s="309"/>
      <c r="AJ508" s="309"/>
      <c r="AK508" s="309"/>
      <c r="AL508" s="309"/>
      <c r="AM508" s="309"/>
      <c r="AN508" s="309"/>
      <c r="AO508" s="309"/>
      <c r="AP508" s="163"/>
    </row>
    <row r="509" spans="2:42" x14ac:dyDescent="0.3">
      <c r="B509" s="6"/>
      <c r="C509" s="6"/>
      <c r="D509" s="6">
        <f t="shared" si="33"/>
        <v>12</v>
      </c>
      <c r="E509" s="544"/>
      <c r="F509" s="545"/>
      <c r="G509" s="545"/>
      <c r="H509" s="545"/>
      <c r="I509" s="545"/>
      <c r="J509" s="545"/>
      <c r="K509" s="545"/>
      <c r="L509" s="545"/>
      <c r="M509" s="545"/>
      <c r="N509" s="545"/>
      <c r="O509" s="545"/>
      <c r="P509" s="545"/>
      <c r="Q509" s="545"/>
      <c r="R509" s="545"/>
      <c r="S509" s="545"/>
      <c r="T509" s="545"/>
      <c r="U509" s="545"/>
      <c r="V509" s="545"/>
      <c r="W509" s="545"/>
      <c r="X509" s="545"/>
      <c r="Y509" s="545"/>
      <c r="Z509" s="545"/>
      <c r="AA509" s="545"/>
      <c r="AB509" s="545"/>
      <c r="AC509" s="545"/>
      <c r="AD509" s="545"/>
      <c r="AE509" s="545"/>
      <c r="AF509" s="545"/>
      <c r="AG509" s="545"/>
      <c r="AH509" s="545"/>
      <c r="AI509" s="545"/>
      <c r="AJ509" s="545"/>
      <c r="AK509" s="545"/>
      <c r="AL509" s="545"/>
      <c r="AM509" s="545"/>
      <c r="AN509" s="545"/>
      <c r="AO509" s="545"/>
      <c r="AP509" s="543"/>
    </row>
    <row r="510" spans="2:42" ht="21" x14ac:dyDescent="0.4">
      <c r="B510" s="6"/>
      <c r="C510" s="6"/>
      <c r="D510" s="6">
        <f t="shared" si="33"/>
        <v>13</v>
      </c>
      <c r="E510" s="632" t="str">
        <f>_xlfn.CONCAT(revenueSimulationID," ",$D510,"|",INDEX(StdConfigDesc,$D510,$E$29))</f>
        <v>Case 13|FTM - Load Reducer (2 MW / 4 MWh)</v>
      </c>
      <c r="F510" s="633"/>
      <c r="G510" s="633"/>
      <c r="H510" s="633"/>
      <c r="I510" s="633"/>
      <c r="J510" s="633"/>
      <c r="K510" s="633"/>
      <c r="L510" s="633"/>
      <c r="M510" s="633"/>
      <c r="N510" s="633"/>
      <c r="O510" s="633"/>
      <c r="P510" s="633"/>
      <c r="Q510" s="633"/>
      <c r="R510" s="633"/>
      <c r="S510" s="633"/>
      <c r="T510" s="633"/>
      <c r="U510" s="633"/>
      <c r="V510" s="633"/>
      <c r="W510" s="633"/>
      <c r="X510" s="633"/>
      <c r="Y510" s="633"/>
      <c r="Z510" s="633"/>
      <c r="AA510" s="633"/>
      <c r="AB510" s="633"/>
      <c r="AC510" s="633"/>
      <c r="AD510" s="633"/>
      <c r="AE510" s="633"/>
      <c r="AF510" s="633"/>
      <c r="AG510" s="633"/>
      <c r="AH510" s="633"/>
      <c r="AI510" s="633"/>
      <c r="AJ510" s="633"/>
      <c r="AK510" s="633"/>
      <c r="AL510" s="633"/>
      <c r="AM510" s="633"/>
      <c r="AN510" s="633"/>
      <c r="AO510" s="633"/>
      <c r="AP510" s="634"/>
    </row>
    <row r="511" spans="2:42" ht="25.8" x14ac:dyDescent="0.5">
      <c r="B511" s="6"/>
      <c r="C511" s="6"/>
      <c r="D511" s="6">
        <f t="shared" si="33"/>
        <v>13</v>
      </c>
      <c r="E511" s="635"/>
      <c r="F511" s="2">
        <v>2025</v>
      </c>
      <c r="G511" s="2">
        <f>F511+1</f>
        <v>2026</v>
      </c>
      <c r="H511" s="2">
        <f t="shared" ref="H511:AO511" si="36">G511+1</f>
        <v>2027</v>
      </c>
      <c r="I511" s="2">
        <f t="shared" si="36"/>
        <v>2028</v>
      </c>
      <c r="J511" s="2">
        <f t="shared" si="36"/>
        <v>2029</v>
      </c>
      <c r="K511" s="2">
        <f t="shared" si="36"/>
        <v>2030</v>
      </c>
      <c r="L511" s="2">
        <f t="shared" si="36"/>
        <v>2031</v>
      </c>
      <c r="M511" s="2">
        <f t="shared" si="36"/>
        <v>2032</v>
      </c>
      <c r="N511" s="2">
        <f t="shared" si="36"/>
        <v>2033</v>
      </c>
      <c r="O511" s="2">
        <f t="shared" si="36"/>
        <v>2034</v>
      </c>
      <c r="P511" s="2">
        <f t="shared" si="36"/>
        <v>2035</v>
      </c>
      <c r="Q511" s="2">
        <f t="shared" si="36"/>
        <v>2036</v>
      </c>
      <c r="R511" s="2">
        <f t="shared" si="36"/>
        <v>2037</v>
      </c>
      <c r="S511" s="2">
        <f t="shared" si="36"/>
        <v>2038</v>
      </c>
      <c r="T511" s="2">
        <f t="shared" si="36"/>
        <v>2039</v>
      </c>
      <c r="U511" s="2">
        <f t="shared" si="36"/>
        <v>2040</v>
      </c>
      <c r="V511" s="2">
        <f t="shared" si="36"/>
        <v>2041</v>
      </c>
      <c r="W511" s="2">
        <f t="shared" si="36"/>
        <v>2042</v>
      </c>
      <c r="X511" s="2">
        <f t="shared" si="36"/>
        <v>2043</v>
      </c>
      <c r="Y511" s="2">
        <f t="shared" si="36"/>
        <v>2044</v>
      </c>
      <c r="Z511" s="2">
        <f t="shared" si="36"/>
        <v>2045</v>
      </c>
      <c r="AA511" s="2">
        <f t="shared" si="36"/>
        <v>2046</v>
      </c>
      <c r="AB511" s="2">
        <f t="shared" si="36"/>
        <v>2047</v>
      </c>
      <c r="AC511" s="2">
        <f t="shared" si="36"/>
        <v>2048</v>
      </c>
      <c r="AD511" s="2">
        <f t="shared" si="36"/>
        <v>2049</v>
      </c>
      <c r="AE511" s="2">
        <f t="shared" si="36"/>
        <v>2050</v>
      </c>
      <c r="AF511" s="2">
        <f t="shared" si="36"/>
        <v>2051</v>
      </c>
      <c r="AG511" s="2">
        <f t="shared" si="36"/>
        <v>2052</v>
      </c>
      <c r="AH511" s="2">
        <f t="shared" si="36"/>
        <v>2053</v>
      </c>
      <c r="AI511" s="2">
        <f t="shared" si="36"/>
        <v>2054</v>
      </c>
      <c r="AJ511" s="2">
        <f t="shared" si="36"/>
        <v>2055</v>
      </c>
      <c r="AK511" s="2">
        <f t="shared" si="36"/>
        <v>2056</v>
      </c>
      <c r="AL511" s="2">
        <f t="shared" si="36"/>
        <v>2057</v>
      </c>
      <c r="AM511" s="2">
        <f t="shared" si="36"/>
        <v>2058</v>
      </c>
      <c r="AN511" s="2">
        <f t="shared" si="36"/>
        <v>2059</v>
      </c>
      <c r="AO511" s="2">
        <f t="shared" si="36"/>
        <v>2060</v>
      </c>
      <c r="AP511" s="163"/>
    </row>
    <row r="512" spans="2:42" x14ac:dyDescent="0.3">
      <c r="B512" s="6"/>
      <c r="C512" s="6"/>
      <c r="D512" s="6">
        <f t="shared" si="33"/>
        <v>13</v>
      </c>
      <c r="E512" s="636" t="str">
        <f>E472</f>
        <v>Capacity - PJM Market</v>
      </c>
      <c r="F512" s="302"/>
      <c r="G512" s="317"/>
      <c r="H512" s="317"/>
      <c r="I512" s="317"/>
      <c r="J512" s="317"/>
      <c r="K512" s="317"/>
      <c r="L512" s="317"/>
      <c r="M512" s="317"/>
      <c r="N512" s="317"/>
      <c r="O512" s="317"/>
      <c r="P512" s="317"/>
      <c r="Q512" s="317"/>
      <c r="R512" s="317"/>
      <c r="S512" s="317"/>
      <c r="T512" s="317"/>
      <c r="U512" s="317"/>
      <c r="V512" s="317"/>
      <c r="W512" s="317"/>
      <c r="X512" s="317"/>
      <c r="Y512" s="317"/>
      <c r="Z512" s="317"/>
      <c r="AA512" s="317"/>
      <c r="AB512" s="317"/>
      <c r="AC512" s="317"/>
      <c r="AD512" s="317"/>
      <c r="AE512" s="317"/>
      <c r="AF512" s="317"/>
      <c r="AG512" s="317"/>
      <c r="AH512" s="317"/>
      <c r="AI512" s="317"/>
      <c r="AJ512" s="317"/>
      <c r="AK512" s="317"/>
      <c r="AL512" s="317"/>
      <c r="AM512" s="317"/>
      <c r="AN512" s="317"/>
      <c r="AO512" s="317"/>
      <c r="AP512" s="163"/>
    </row>
    <row r="513" spans="2:42" x14ac:dyDescent="0.3">
      <c r="B513" s="6"/>
      <c r="C513" s="6"/>
      <c r="D513" s="6">
        <f t="shared" si="33"/>
        <v>13</v>
      </c>
      <c r="E513" s="636" t="str">
        <f t="shared" ref="E513:E548" si="37">E473</f>
        <v>Energy Arbitrage - PJM Market</v>
      </c>
      <c r="F513" s="303"/>
      <c r="G513" s="304"/>
      <c r="H513" s="304"/>
      <c r="I513" s="304">
        <v>0</v>
      </c>
      <c r="J513" s="304">
        <v>0</v>
      </c>
      <c r="K513" s="304">
        <v>0</v>
      </c>
      <c r="L513" s="304">
        <v>0</v>
      </c>
      <c r="M513" s="304">
        <v>0</v>
      </c>
      <c r="N513" s="304">
        <v>0</v>
      </c>
      <c r="O513" s="304">
        <v>0</v>
      </c>
      <c r="P513" s="304">
        <v>0</v>
      </c>
      <c r="Q513" s="304">
        <v>0</v>
      </c>
      <c r="R513" s="304">
        <v>0</v>
      </c>
      <c r="S513" s="304">
        <v>0</v>
      </c>
      <c r="T513" s="304">
        <v>0</v>
      </c>
      <c r="U513" s="304">
        <v>0</v>
      </c>
      <c r="V513" s="304">
        <v>0</v>
      </c>
      <c r="W513" s="304">
        <v>0</v>
      </c>
      <c r="X513" s="304">
        <v>0</v>
      </c>
      <c r="Y513" s="304">
        <v>0</v>
      </c>
      <c r="Z513" s="304">
        <v>0</v>
      </c>
      <c r="AA513" s="304">
        <v>0</v>
      </c>
      <c r="AB513" s="304">
        <v>0</v>
      </c>
      <c r="AC513" s="304"/>
      <c r="AD513" s="304"/>
      <c r="AE513" s="304"/>
      <c r="AF513" s="304"/>
      <c r="AG513" s="304"/>
      <c r="AH513" s="304"/>
      <c r="AI513" s="304"/>
      <c r="AJ513" s="304"/>
      <c r="AK513" s="304"/>
      <c r="AL513" s="304"/>
      <c r="AM513" s="304"/>
      <c r="AN513" s="304"/>
      <c r="AO513" s="304"/>
      <c r="AP513" s="163"/>
    </row>
    <row r="514" spans="2:42" x14ac:dyDescent="0.3">
      <c r="B514" s="6"/>
      <c r="C514" s="6"/>
      <c r="D514" s="6">
        <f t="shared" si="33"/>
        <v>13</v>
      </c>
      <c r="E514" s="636" t="str">
        <f t="shared" si="37"/>
        <v>Spin- PJM Market</v>
      </c>
      <c r="F514" s="303"/>
      <c r="G514" s="304"/>
      <c r="H514" s="304"/>
      <c r="I514" s="304">
        <v>22952.115385054723</v>
      </c>
      <c r="J514" s="304">
        <v>21195.321374303476</v>
      </c>
      <c r="K514" s="304">
        <v>22156.907313236308</v>
      </c>
      <c r="L514" s="304">
        <v>20580.789534700907</v>
      </c>
      <c r="M514" s="304">
        <v>19257.804418705509</v>
      </c>
      <c r="N514" s="304">
        <v>19709.63284009929</v>
      </c>
      <c r="O514" s="304">
        <v>20161.461261493074</v>
      </c>
      <c r="P514" s="304">
        <v>20613.289682886854</v>
      </c>
      <c r="Q514" s="304">
        <v>21065.118104280638</v>
      </c>
      <c r="R514" s="304">
        <v>21516.946525674419</v>
      </c>
      <c r="S514" s="304">
        <v>22560.345116118082</v>
      </c>
      <c r="T514" s="304">
        <v>23603.743706561745</v>
      </c>
      <c r="U514" s="304">
        <v>24647.142297005408</v>
      </c>
      <c r="V514" s="304">
        <v>25690.540887449071</v>
      </c>
      <c r="W514" s="304">
        <v>26733.939477892734</v>
      </c>
      <c r="X514" s="304">
        <v>27783.609395440948</v>
      </c>
      <c r="Y514" s="304">
        <v>28833.279312989165</v>
      </c>
      <c r="Z514" s="304">
        <v>29882.949230537379</v>
      </c>
      <c r="AA514" s="304">
        <v>30932.619148085592</v>
      </c>
      <c r="AB514" s="304">
        <v>31982.28906563381</v>
      </c>
      <c r="AC514" s="304"/>
      <c r="AD514" s="304"/>
      <c r="AE514" s="304"/>
      <c r="AF514" s="304"/>
      <c r="AG514" s="304"/>
      <c r="AH514" s="304"/>
      <c r="AI514" s="304"/>
      <c r="AJ514" s="304"/>
      <c r="AK514" s="304"/>
      <c r="AL514" s="304"/>
      <c r="AM514" s="304"/>
      <c r="AN514" s="304"/>
      <c r="AO514" s="304"/>
      <c r="AP514" s="163"/>
    </row>
    <row r="515" spans="2:42" x14ac:dyDescent="0.3">
      <c r="B515" s="6"/>
      <c r="C515" s="6"/>
      <c r="D515" s="6">
        <f t="shared" si="33"/>
        <v>13</v>
      </c>
      <c r="E515" s="636" t="str">
        <f t="shared" si="37"/>
        <v>Non-Spin - PJM Market</v>
      </c>
      <c r="F515" s="303"/>
      <c r="G515" s="304"/>
      <c r="H515" s="304"/>
      <c r="I515" s="304"/>
      <c r="J515" s="304"/>
      <c r="K515" s="304"/>
      <c r="L515" s="304"/>
      <c r="M515" s="304"/>
      <c r="N515" s="304"/>
      <c r="O515" s="304"/>
      <c r="P515" s="304"/>
      <c r="Q515" s="304"/>
      <c r="R515" s="304"/>
      <c r="S515" s="304"/>
      <c r="T515" s="304"/>
      <c r="U515" s="304"/>
      <c r="V515" s="304"/>
      <c r="W515" s="304"/>
      <c r="X515" s="304"/>
      <c r="Y515" s="304"/>
      <c r="Z515" s="304"/>
      <c r="AA515" s="304"/>
      <c r="AB515" s="304"/>
      <c r="AC515" s="304"/>
      <c r="AD515" s="304"/>
      <c r="AE515" s="304"/>
      <c r="AF515" s="304"/>
      <c r="AG515" s="304"/>
      <c r="AH515" s="304"/>
      <c r="AI515" s="304"/>
      <c r="AJ515" s="304"/>
      <c r="AK515" s="304"/>
      <c r="AL515" s="304"/>
      <c r="AM515" s="304"/>
      <c r="AN515" s="304"/>
      <c r="AO515" s="304"/>
      <c r="AP515" s="163"/>
    </row>
    <row r="516" spans="2:42" x14ac:dyDescent="0.3">
      <c r="B516" s="6"/>
      <c r="C516" s="6"/>
      <c r="D516" s="6">
        <f t="shared" si="33"/>
        <v>13</v>
      </c>
      <c r="E516" s="636" t="str">
        <f t="shared" si="37"/>
        <v>Regulation - PJM Market</v>
      </c>
      <c r="F516" s="303"/>
      <c r="G516" s="304"/>
      <c r="H516" s="304"/>
      <c r="I516" s="304">
        <v>133645.08643931392</v>
      </c>
      <c r="J516" s="304">
        <v>64099.252374274642</v>
      </c>
      <c r="K516" s="304">
        <v>32828.143152494929</v>
      </c>
      <c r="L516" s="304">
        <v>19895.652722764127</v>
      </c>
      <c r="M516" s="304">
        <v>13023.649031717516</v>
      </c>
      <c r="N516" s="304">
        <v>11883.429948643621</v>
      </c>
      <c r="O516" s="304">
        <v>10743.210865569723</v>
      </c>
      <c r="P516" s="304">
        <v>9602.9917824958266</v>
      </c>
      <c r="Q516" s="304">
        <v>8462.7726994219283</v>
      </c>
      <c r="R516" s="304">
        <v>7322.5536163480319</v>
      </c>
      <c r="S516" s="304">
        <v>7846.4141339431571</v>
      </c>
      <c r="T516" s="304">
        <v>8370.2746515382823</v>
      </c>
      <c r="U516" s="304">
        <v>8894.1351691334057</v>
      </c>
      <c r="V516" s="304">
        <v>9417.9956867285291</v>
      </c>
      <c r="W516" s="304">
        <v>9941.8562043236561</v>
      </c>
      <c r="X516" s="304">
        <v>9917.2908889130795</v>
      </c>
      <c r="Y516" s="304">
        <v>9892.7255735025064</v>
      </c>
      <c r="Z516" s="304">
        <v>9868.1602580919316</v>
      </c>
      <c r="AA516" s="304">
        <v>9843.594942681355</v>
      </c>
      <c r="AB516" s="304">
        <v>9819.0296272707856</v>
      </c>
      <c r="AC516" s="304"/>
      <c r="AD516" s="304"/>
      <c r="AE516" s="304"/>
      <c r="AF516" s="304"/>
      <c r="AG516" s="304"/>
      <c r="AH516" s="304"/>
      <c r="AI516" s="304"/>
      <c r="AJ516" s="304"/>
      <c r="AK516" s="304"/>
      <c r="AL516" s="304"/>
      <c r="AM516" s="304"/>
      <c r="AN516" s="304"/>
      <c r="AO516" s="304"/>
      <c r="AP516" s="163"/>
    </row>
    <row r="517" spans="2:42" x14ac:dyDescent="0.3">
      <c r="B517" s="6"/>
      <c r="C517" s="6"/>
      <c r="D517" s="6">
        <f t="shared" si="33"/>
        <v>13</v>
      </c>
      <c r="E517" s="636" t="str">
        <f t="shared" si="37"/>
        <v>Incurred Energy Charges</v>
      </c>
      <c r="F517" s="303"/>
      <c r="G517" s="304"/>
      <c r="H517" s="304"/>
      <c r="I517" s="304">
        <v>-57223.140399948017</v>
      </c>
      <c r="J517" s="304">
        <v>-66756.078454741393</v>
      </c>
      <c r="K517" s="304">
        <v>-66704.211765744432</v>
      </c>
      <c r="L517" s="304">
        <v>-72063.540095414297</v>
      </c>
      <c r="M517" s="304">
        <v>-73256.433353695305</v>
      </c>
      <c r="N517" s="304">
        <v>-75052.509765342445</v>
      </c>
      <c r="O517" s="304">
        <v>-76848.586176989586</v>
      </c>
      <c r="P517" s="304">
        <v>-78644.662588636711</v>
      </c>
      <c r="Q517" s="304">
        <v>-80440.739000283851</v>
      </c>
      <c r="R517" s="304">
        <v>-82236.815411930991</v>
      </c>
      <c r="S517" s="304">
        <v>-80485.147080891431</v>
      </c>
      <c r="T517" s="304">
        <v>-78733.478749851871</v>
      </c>
      <c r="U517" s="304">
        <v>-76981.810418812296</v>
      </c>
      <c r="V517" s="304">
        <v>-75230.142087772736</v>
      </c>
      <c r="W517" s="304">
        <v>-73478.473756733176</v>
      </c>
      <c r="X517" s="304">
        <v>-75136.620637023283</v>
      </c>
      <c r="Y517" s="304">
        <v>-76794.76751731339</v>
      </c>
      <c r="Z517" s="304">
        <v>-78452.914397603497</v>
      </c>
      <c r="AA517" s="304">
        <v>-80111.061277893605</v>
      </c>
      <c r="AB517" s="304">
        <v>-81769.208158183712</v>
      </c>
      <c r="AC517" s="304"/>
      <c r="AD517" s="304"/>
      <c r="AE517" s="304"/>
      <c r="AF517" s="304"/>
      <c r="AG517" s="304"/>
      <c r="AH517" s="304"/>
      <c r="AI517" s="304"/>
      <c r="AJ517" s="304"/>
      <c r="AK517" s="304"/>
      <c r="AL517" s="304"/>
      <c r="AM517" s="304"/>
      <c r="AN517" s="304"/>
      <c r="AO517" s="304"/>
      <c r="AP517" s="163"/>
    </row>
    <row r="518" spans="2:42" x14ac:dyDescent="0.3">
      <c r="B518" s="6"/>
      <c r="C518" s="6"/>
      <c r="D518" s="6">
        <f t="shared" si="33"/>
        <v>13</v>
      </c>
      <c r="E518" s="636" t="str">
        <f t="shared" si="37"/>
        <v>As Used Demand Charges</v>
      </c>
      <c r="F518" s="303"/>
      <c r="G518" s="304"/>
      <c r="H518" s="304"/>
      <c r="I518" s="304">
        <v>-18810.993876917135</v>
      </c>
      <c r="J518" s="304">
        <v>-21704.371602630847</v>
      </c>
      <c r="K518" s="304">
        <v>-17910.001269497305</v>
      </c>
      <c r="L518" s="304">
        <v>-19772.864902992358</v>
      </c>
      <c r="M518" s="304">
        <v>-22686.074868771291</v>
      </c>
      <c r="N518" s="304">
        <v>-24589.705261843355</v>
      </c>
      <c r="O518" s="304">
        <v>-26493.335654915423</v>
      </c>
      <c r="P518" s="304">
        <v>-28396.966047987487</v>
      </c>
      <c r="Q518" s="304">
        <v>-30300.596441059555</v>
      </c>
      <c r="R518" s="304">
        <v>-32204.226834131619</v>
      </c>
      <c r="S518" s="304">
        <v>-33793.51941106961</v>
      </c>
      <c r="T518" s="304">
        <v>-35382.811988007605</v>
      </c>
      <c r="U518" s="304">
        <v>-36972.104564945592</v>
      </c>
      <c r="V518" s="304">
        <v>-38561.397141883586</v>
      </c>
      <c r="W518" s="304">
        <v>-40150.689718821581</v>
      </c>
      <c r="X518" s="304">
        <v>-40340.492828841576</v>
      </c>
      <c r="Y518" s="304">
        <v>-40530.295938861571</v>
      </c>
      <c r="Z518" s="304">
        <v>-40720.099048881573</v>
      </c>
      <c r="AA518" s="304">
        <v>-40909.902158901568</v>
      </c>
      <c r="AB518" s="304">
        <v>-41099.705268921563</v>
      </c>
      <c r="AC518" s="304"/>
      <c r="AD518" s="304"/>
      <c r="AE518" s="304"/>
      <c r="AF518" s="304"/>
      <c r="AG518" s="304"/>
      <c r="AH518" s="304"/>
      <c r="AI518" s="304"/>
      <c r="AJ518" s="304"/>
      <c r="AK518" s="304"/>
      <c r="AL518" s="304"/>
      <c r="AM518" s="304"/>
      <c r="AN518" s="304"/>
      <c r="AO518" s="304"/>
      <c r="AP518" s="163"/>
    </row>
    <row r="519" spans="2:42" x14ac:dyDescent="0.3">
      <c r="B519" s="6"/>
      <c r="C519" s="6"/>
      <c r="D519" s="6">
        <f t="shared" ref="D519:D582" si="38">D479+1</f>
        <v>13</v>
      </c>
      <c r="E519" s="636" t="str">
        <f t="shared" si="37"/>
        <v>Contract Demand Charges  Fixed</v>
      </c>
      <c r="F519" s="303"/>
      <c r="G519" s="304"/>
      <c r="H519" s="304"/>
      <c r="I519" s="304">
        <v>0</v>
      </c>
      <c r="J519" s="304">
        <v>0</v>
      </c>
      <c r="K519" s="304">
        <v>0</v>
      </c>
      <c r="L519" s="304">
        <v>0</v>
      </c>
      <c r="M519" s="304">
        <v>0</v>
      </c>
      <c r="N519" s="304">
        <v>0</v>
      </c>
      <c r="O519" s="304">
        <v>0</v>
      </c>
      <c r="P519" s="304">
        <v>0</v>
      </c>
      <c r="Q519" s="304">
        <v>0</v>
      </c>
      <c r="R519" s="304">
        <v>0</v>
      </c>
      <c r="S519" s="304">
        <v>0</v>
      </c>
      <c r="T519" s="304">
        <v>0</v>
      </c>
      <c r="U519" s="304">
        <v>0</v>
      </c>
      <c r="V519" s="304">
        <v>0</v>
      </c>
      <c r="W519" s="304">
        <v>0</v>
      </c>
      <c r="X519" s="304">
        <v>0</v>
      </c>
      <c r="Y519" s="304">
        <v>0</v>
      </c>
      <c r="Z519" s="304">
        <v>0</v>
      </c>
      <c r="AA519" s="304">
        <v>0</v>
      </c>
      <c r="AB519" s="304">
        <v>0</v>
      </c>
      <c r="AC519" s="304"/>
      <c r="AD519" s="304"/>
      <c r="AE519" s="304"/>
      <c r="AF519" s="304"/>
      <c r="AG519" s="304"/>
      <c r="AH519" s="304"/>
      <c r="AI519" s="304"/>
      <c r="AJ519" s="304"/>
      <c r="AK519" s="304"/>
      <c r="AL519" s="304"/>
      <c r="AM519" s="304"/>
      <c r="AN519" s="304"/>
      <c r="AO519" s="304"/>
      <c r="AP519" s="163"/>
    </row>
    <row r="520" spans="2:42" x14ac:dyDescent="0.3">
      <c r="B520" s="6"/>
      <c r="C520" s="6"/>
      <c r="D520" s="6">
        <f t="shared" si="38"/>
        <v>13</v>
      </c>
      <c r="E520" s="636" t="str">
        <f t="shared" si="37"/>
        <v>Customer Charges/ Fixed Charges</v>
      </c>
      <c r="F520" s="303"/>
      <c r="G520" s="304"/>
      <c r="H520" s="304"/>
      <c r="I520" s="304">
        <v>-404.17228800000004</v>
      </c>
      <c r="J520" s="304">
        <v>-420.33917952000007</v>
      </c>
      <c r="K520" s="304">
        <v>-437.15274670080009</v>
      </c>
      <c r="L520" s="304">
        <v>-454.63885656883213</v>
      </c>
      <c r="M520" s="304">
        <v>-472.82441083158545</v>
      </c>
      <c r="N520" s="304">
        <v>-491.73738726484891</v>
      </c>
      <c r="O520" s="304">
        <v>-511.40688275544289</v>
      </c>
      <c r="P520" s="304">
        <v>-531.86315806566063</v>
      </c>
      <c r="Q520" s="304">
        <v>-553.13768438828708</v>
      </c>
      <c r="R520" s="304">
        <v>-575.26319176381855</v>
      </c>
      <c r="S520" s="304">
        <v>-598.27371943437129</v>
      </c>
      <c r="T520" s="304">
        <v>-622.20466821174614</v>
      </c>
      <c r="U520" s="304">
        <v>-647.09285494021606</v>
      </c>
      <c r="V520" s="304">
        <v>-672.97656913782475</v>
      </c>
      <c r="W520" s="304">
        <v>-699.89563190333774</v>
      </c>
      <c r="X520" s="304">
        <v>-727.89145717947133</v>
      </c>
      <c r="Y520" s="304">
        <v>-757.00711546665025</v>
      </c>
      <c r="Z520" s="304">
        <v>-787.28740008531634</v>
      </c>
      <c r="AA520" s="304">
        <v>-818.77889608872897</v>
      </c>
      <c r="AB520" s="304">
        <v>-851.53005193227818</v>
      </c>
      <c r="AC520" s="304"/>
      <c r="AD520" s="304"/>
      <c r="AE520" s="304"/>
      <c r="AF520" s="304"/>
      <c r="AG520" s="304"/>
      <c r="AH520" s="304"/>
      <c r="AI520" s="304"/>
      <c r="AJ520" s="304"/>
      <c r="AK520" s="304"/>
      <c r="AL520" s="304"/>
      <c r="AM520" s="304"/>
      <c r="AN520" s="304"/>
      <c r="AO520" s="304"/>
      <c r="AP520" s="163"/>
    </row>
    <row r="521" spans="2:42" x14ac:dyDescent="0.3">
      <c r="B521" s="6"/>
      <c r="C521" s="6"/>
      <c r="D521" s="6">
        <f t="shared" si="38"/>
        <v>13</v>
      </c>
      <c r="E521" s="637" t="str">
        <f t="shared" si="37"/>
        <v>Energy Savings</v>
      </c>
      <c r="F521" s="303"/>
      <c r="G521" s="304"/>
      <c r="H521" s="304"/>
      <c r="I521" s="304"/>
      <c r="J521" s="304"/>
      <c r="K521" s="304"/>
      <c r="L521" s="617"/>
      <c r="M521" s="617"/>
      <c r="N521" s="617"/>
      <c r="O521" s="617"/>
      <c r="P521" s="617"/>
      <c r="Q521" s="617"/>
      <c r="R521" s="617"/>
      <c r="S521" s="617"/>
      <c r="T521" s="617"/>
      <c r="U521" s="617"/>
      <c r="V521" s="617"/>
      <c r="W521" s="617"/>
      <c r="X521" s="617"/>
      <c r="Y521" s="617"/>
      <c r="Z521" s="617"/>
      <c r="AA521" s="617"/>
      <c r="AB521" s="304"/>
      <c r="AC521" s="304"/>
      <c r="AD521" s="304"/>
      <c r="AE521" s="304"/>
      <c r="AF521" s="304"/>
      <c r="AG521" s="304"/>
      <c r="AH521" s="304"/>
      <c r="AI521" s="304"/>
      <c r="AJ521" s="304"/>
      <c r="AK521" s="304"/>
      <c r="AL521" s="304"/>
      <c r="AM521" s="304"/>
      <c r="AN521" s="304"/>
      <c r="AO521" s="304"/>
      <c r="AP521" s="163"/>
    </row>
    <row r="522" spans="2:42" x14ac:dyDescent="0.3">
      <c r="B522" s="6"/>
      <c r="C522" s="6"/>
      <c r="D522" s="6">
        <f t="shared" si="38"/>
        <v>13</v>
      </c>
      <c r="E522" s="637" t="str">
        <f t="shared" si="37"/>
        <v xml:space="preserve">Demand Savings </v>
      </c>
      <c r="F522" s="303"/>
      <c r="G522" s="304"/>
      <c r="H522" s="304"/>
      <c r="I522" s="304"/>
      <c r="J522" s="304"/>
      <c r="K522" s="304"/>
      <c r="L522" s="617"/>
      <c r="M522" s="617"/>
      <c r="N522" s="617"/>
      <c r="O522" s="617"/>
      <c r="P522" s="617"/>
      <c r="Q522" s="617"/>
      <c r="R522" s="617"/>
      <c r="S522" s="617"/>
      <c r="T522" s="617"/>
      <c r="U522" s="617"/>
      <c r="V522" s="617"/>
      <c r="W522" s="617"/>
      <c r="X522" s="617"/>
      <c r="Y522" s="617"/>
      <c r="Z522" s="617"/>
      <c r="AA522" s="617"/>
      <c r="AB522" s="304"/>
      <c r="AC522" s="304"/>
      <c r="AD522" s="304"/>
      <c r="AE522" s="304"/>
      <c r="AF522" s="304"/>
      <c r="AG522" s="304"/>
      <c r="AH522" s="304"/>
      <c r="AI522" s="304"/>
      <c r="AJ522" s="304"/>
      <c r="AK522" s="304"/>
      <c r="AL522" s="304"/>
      <c r="AM522" s="304"/>
      <c r="AN522" s="304"/>
      <c r="AO522" s="304"/>
      <c r="AP522" s="163"/>
    </row>
    <row r="523" spans="2:42" x14ac:dyDescent="0.3">
      <c r="B523" s="6"/>
      <c r="C523" s="6"/>
      <c r="D523" s="6">
        <f t="shared" si="38"/>
        <v>13</v>
      </c>
      <c r="E523" s="638" t="str">
        <f t="shared" si="37"/>
        <v>Energy Generation - Export</v>
      </c>
      <c r="F523" s="303"/>
      <c r="G523" s="304"/>
      <c r="H523" s="304"/>
      <c r="I523" s="304">
        <v>97163.322280516179</v>
      </c>
      <c r="J523" s="304">
        <v>108364.73004829227</v>
      </c>
      <c r="K523" s="304">
        <v>114082.83588701343</v>
      </c>
      <c r="L523" s="617">
        <v>117898.38080792436</v>
      </c>
      <c r="M523" s="617">
        <v>127174.92319141192</v>
      </c>
      <c r="N523" s="617">
        <v>133265.47132177357</v>
      </c>
      <c r="O523" s="617">
        <v>139356.01945213522</v>
      </c>
      <c r="P523" s="617">
        <v>145446.56758249688</v>
      </c>
      <c r="Q523" s="617">
        <v>151537.11571285853</v>
      </c>
      <c r="R523" s="617">
        <v>157627.66384322019</v>
      </c>
      <c r="S523" s="617">
        <v>172493.96158505281</v>
      </c>
      <c r="T523" s="617">
        <v>187360.25932688543</v>
      </c>
      <c r="U523" s="617">
        <v>202226.55706871807</v>
      </c>
      <c r="V523" s="617">
        <v>217092.85481055069</v>
      </c>
      <c r="W523" s="617">
        <v>231959.15255238331</v>
      </c>
      <c r="X523" s="617">
        <v>241189.16873614749</v>
      </c>
      <c r="Y523" s="617">
        <v>250419.18491991167</v>
      </c>
      <c r="Z523" s="617">
        <v>259649.20110367588</v>
      </c>
      <c r="AA523" s="617">
        <v>268879.21728744003</v>
      </c>
      <c r="AB523" s="304">
        <v>278109.23347120424</v>
      </c>
      <c r="AC523" s="304"/>
      <c r="AD523" s="304"/>
      <c r="AE523" s="304"/>
      <c r="AF523" s="304"/>
      <c r="AG523" s="304"/>
      <c r="AH523" s="304"/>
      <c r="AI523" s="304"/>
      <c r="AJ523" s="304"/>
      <c r="AK523" s="304"/>
      <c r="AL523" s="304"/>
      <c r="AM523" s="304"/>
      <c r="AN523" s="304"/>
      <c r="AO523" s="304"/>
      <c r="AP523" s="163"/>
    </row>
    <row r="524" spans="2:42" x14ac:dyDescent="0.3">
      <c r="B524" s="6"/>
      <c r="C524" s="6"/>
      <c r="D524" s="6">
        <f t="shared" si="38"/>
        <v>13</v>
      </c>
      <c r="E524" s="638" t="str">
        <f t="shared" si="37"/>
        <v>Generation Capacity</v>
      </c>
      <c r="F524" s="303"/>
      <c r="G524" s="304"/>
      <c r="H524" s="304"/>
      <c r="I524" s="304">
        <v>179688.95177641517</v>
      </c>
      <c r="J524" s="304">
        <v>179804.03761380073</v>
      </c>
      <c r="K524" s="304">
        <v>143838.68906267415</v>
      </c>
      <c r="L524" s="617">
        <v>143752.34380476759</v>
      </c>
      <c r="M524" s="617">
        <v>143674.32505369929</v>
      </c>
      <c r="N524" s="617">
        <v>143697.20556053496</v>
      </c>
      <c r="O524" s="617">
        <v>143720.08606737063</v>
      </c>
      <c r="P524" s="617">
        <v>143742.96657420631</v>
      </c>
      <c r="Q524" s="617">
        <v>143765.84708104198</v>
      </c>
      <c r="R524" s="617">
        <v>143788.72758787766</v>
      </c>
      <c r="S524" s="617">
        <v>148529.53848453928</v>
      </c>
      <c r="T524" s="617">
        <v>153270.34938120094</v>
      </c>
      <c r="U524" s="617">
        <v>158011.16027786257</v>
      </c>
      <c r="V524" s="617">
        <v>162751.97117452422</v>
      </c>
      <c r="W524" s="617">
        <v>167492.78207118585</v>
      </c>
      <c r="X524" s="617">
        <v>172143.58201103527</v>
      </c>
      <c r="Y524" s="617">
        <v>176794.38195088465</v>
      </c>
      <c r="Z524" s="617">
        <v>181445.18189073406</v>
      </c>
      <c r="AA524" s="617">
        <v>186095.98183058345</v>
      </c>
      <c r="AB524" s="304">
        <v>190746.78177043286</v>
      </c>
      <c r="AC524" s="304"/>
      <c r="AD524" s="304"/>
      <c r="AE524" s="304"/>
      <c r="AF524" s="304"/>
      <c r="AG524" s="304"/>
      <c r="AH524" s="304"/>
      <c r="AI524" s="304"/>
      <c r="AJ524" s="304"/>
      <c r="AK524" s="304"/>
      <c r="AL524" s="304"/>
      <c r="AM524" s="304"/>
      <c r="AN524" s="304"/>
      <c r="AO524" s="304"/>
      <c r="AP524" s="163"/>
    </row>
    <row r="525" spans="2:42" x14ac:dyDescent="0.3">
      <c r="B525" s="6"/>
      <c r="C525" s="6"/>
      <c r="D525" s="6">
        <f t="shared" si="38"/>
        <v>13</v>
      </c>
      <c r="E525" s="638" t="str">
        <f t="shared" si="37"/>
        <v>Transmission Capacity</v>
      </c>
      <c r="F525" s="303"/>
      <c r="G525" s="304"/>
      <c r="H525" s="304"/>
      <c r="I525" s="304">
        <v>61234.666173334546</v>
      </c>
      <c r="J525" s="304">
        <v>61273.885294843756</v>
      </c>
      <c r="K525" s="304">
        <v>49017.560737526597</v>
      </c>
      <c r="L525" s="617">
        <v>48988.135873107902</v>
      </c>
      <c r="M525" s="617">
        <v>48961.548527977895</v>
      </c>
      <c r="N525" s="617">
        <v>48969.345780864664</v>
      </c>
      <c r="O525" s="617">
        <v>48977.143033751432</v>
      </c>
      <c r="P525" s="617">
        <v>48984.940286638208</v>
      </c>
      <c r="Q525" s="617">
        <v>48992.737539524976</v>
      </c>
      <c r="R525" s="617">
        <v>49000.534792411745</v>
      </c>
      <c r="S525" s="617">
        <v>49854.358007418872</v>
      </c>
      <c r="T525" s="617">
        <v>50708.181222425999</v>
      </c>
      <c r="U525" s="617">
        <v>51562.004437433126</v>
      </c>
      <c r="V525" s="617">
        <v>52415.827652440254</v>
      </c>
      <c r="W525" s="617">
        <v>53269.650867447381</v>
      </c>
      <c r="X525" s="617">
        <v>54748.798123744244</v>
      </c>
      <c r="Y525" s="617">
        <v>56227.945380041107</v>
      </c>
      <c r="Z525" s="617">
        <v>57707.092636337969</v>
      </c>
      <c r="AA525" s="617">
        <v>59186.23989263484</v>
      </c>
      <c r="AB525" s="304">
        <v>60665.387148931703</v>
      </c>
      <c r="AC525" s="304"/>
      <c r="AD525" s="304"/>
      <c r="AE525" s="304"/>
      <c r="AF525" s="304"/>
      <c r="AG525" s="304"/>
      <c r="AH525" s="304"/>
      <c r="AI525" s="304"/>
      <c r="AJ525" s="304"/>
      <c r="AK525" s="304"/>
      <c r="AL525" s="304"/>
      <c r="AM525" s="304"/>
      <c r="AN525" s="304"/>
      <c r="AO525" s="304"/>
      <c r="AP525" s="163"/>
    </row>
    <row r="526" spans="2:42" x14ac:dyDescent="0.3">
      <c r="B526" s="6"/>
      <c r="C526" s="6"/>
      <c r="D526" s="6">
        <f t="shared" si="38"/>
        <v>13</v>
      </c>
      <c r="E526" s="638" t="str">
        <f t="shared" si="37"/>
        <v>Distribution Capacity</v>
      </c>
      <c r="F526" s="303"/>
      <c r="G526" s="304"/>
      <c r="H526" s="304"/>
      <c r="I526" s="304">
        <v>15662.274945871981</v>
      </c>
      <c r="J526" s="304">
        <v>16045.221658507598</v>
      </c>
      <c r="K526" s="304">
        <v>13104.260221057375</v>
      </c>
      <c r="L526" s="617">
        <v>13011.932163057107</v>
      </c>
      <c r="M526" s="617">
        <v>13181.432050187424</v>
      </c>
      <c r="N526" s="617">
        <v>13182.725020615268</v>
      </c>
      <c r="O526" s="617">
        <v>13184.017991043109</v>
      </c>
      <c r="P526" s="617">
        <v>13185.310961470952</v>
      </c>
      <c r="Q526" s="617">
        <v>13186.603931898793</v>
      </c>
      <c r="R526" s="617">
        <v>13187.896902326636</v>
      </c>
      <c r="S526" s="617">
        <v>13339.064968953313</v>
      </c>
      <c r="T526" s="617">
        <v>13490.233035579991</v>
      </c>
      <c r="U526" s="617">
        <v>13641.401102206668</v>
      </c>
      <c r="V526" s="617">
        <v>13792.569168833346</v>
      </c>
      <c r="W526" s="617">
        <v>13943.737235460023</v>
      </c>
      <c r="X526" s="617">
        <v>14090.308660988379</v>
      </c>
      <c r="Y526" s="617">
        <v>14236.880086516736</v>
      </c>
      <c r="Z526" s="617">
        <v>14383.451512045094</v>
      </c>
      <c r="AA526" s="617">
        <v>14530.022937573451</v>
      </c>
      <c r="AB526" s="304">
        <v>14676.594363101807</v>
      </c>
      <c r="AC526" s="304"/>
      <c r="AD526" s="304"/>
      <c r="AE526" s="304"/>
      <c r="AF526" s="304"/>
      <c r="AG526" s="304"/>
      <c r="AH526" s="304"/>
      <c r="AI526" s="304"/>
      <c r="AJ526" s="304"/>
      <c r="AK526" s="304"/>
      <c r="AL526" s="304"/>
      <c r="AM526" s="304"/>
      <c r="AN526" s="304"/>
      <c r="AO526" s="304"/>
      <c r="AP526" s="163"/>
    </row>
    <row r="527" spans="2:42" x14ac:dyDescent="0.3">
      <c r="B527" s="6"/>
      <c r="C527" s="6"/>
      <c r="D527" s="6">
        <f t="shared" si="38"/>
        <v>13</v>
      </c>
      <c r="E527" s="638" t="str">
        <f t="shared" si="37"/>
        <v>GHG Impacts</v>
      </c>
      <c r="F527" s="303"/>
      <c r="G527" s="304"/>
      <c r="H527" s="304"/>
      <c r="I527" s="304">
        <v>125579.10074148506</v>
      </c>
      <c r="J527" s="304">
        <v>142695.17057281587</v>
      </c>
      <c r="K527" s="304">
        <v>56612.208615640855</v>
      </c>
      <c r="L527" s="617">
        <v>69061.1354565332</v>
      </c>
      <c r="M527" s="617">
        <v>85271.156513820941</v>
      </c>
      <c r="N527" s="617">
        <v>96128.220597674837</v>
      </c>
      <c r="O527" s="617">
        <v>106985.28468152872</v>
      </c>
      <c r="P527" s="617">
        <v>117842.34876538262</v>
      </c>
      <c r="Q527" s="617">
        <v>128699.41284923651</v>
      </c>
      <c r="R527" s="617">
        <v>139556.47693309039</v>
      </c>
      <c r="S527" s="617">
        <v>150882.04810468847</v>
      </c>
      <c r="T527" s="617">
        <v>162207.61927628654</v>
      </c>
      <c r="U527" s="617">
        <v>173533.19044788461</v>
      </c>
      <c r="V527" s="617">
        <v>184858.76161948268</v>
      </c>
      <c r="W527" s="617">
        <v>196184.33279108076</v>
      </c>
      <c r="X527" s="617">
        <v>212043.11427434336</v>
      </c>
      <c r="Y527" s="617">
        <v>227901.89575760599</v>
      </c>
      <c r="Z527" s="617">
        <v>243760.67724086859</v>
      </c>
      <c r="AA527" s="617">
        <v>259619.45872413123</v>
      </c>
      <c r="AB527" s="304">
        <v>275478.24020739383</v>
      </c>
      <c r="AC527" s="304"/>
      <c r="AD527" s="304"/>
      <c r="AE527" s="304"/>
      <c r="AF527" s="304"/>
      <c r="AG527" s="304"/>
      <c r="AH527" s="304"/>
      <c r="AI527" s="304"/>
      <c r="AJ527" s="304"/>
      <c r="AK527" s="304"/>
      <c r="AL527" s="304"/>
      <c r="AM527" s="304"/>
      <c r="AN527" s="304"/>
      <c r="AO527" s="304"/>
      <c r="AP527" s="163"/>
    </row>
    <row r="528" spans="2:42" x14ac:dyDescent="0.3">
      <c r="B528" s="6"/>
      <c r="C528" s="6"/>
      <c r="D528" s="6">
        <f t="shared" si="38"/>
        <v>13</v>
      </c>
      <c r="E528" s="638" t="str">
        <f t="shared" si="37"/>
        <v>Market Price Effects - Wholesale Energy</v>
      </c>
      <c r="F528" s="303"/>
      <c r="G528" s="304"/>
      <c r="H528" s="304"/>
      <c r="I528" s="304">
        <v>5930.359475411019</v>
      </c>
      <c r="J528" s="304">
        <v>10836.985576717303</v>
      </c>
      <c r="K528" s="304">
        <v>23208.223311253201</v>
      </c>
      <c r="L528" s="617">
        <v>24290.017096247284</v>
      </c>
      <c r="M528" s="617">
        <v>34241.585633133371</v>
      </c>
      <c r="N528" s="617">
        <v>31450.430188451373</v>
      </c>
      <c r="O528" s="617">
        <v>28659.274743769376</v>
      </c>
      <c r="P528" s="617">
        <v>25868.119299087382</v>
      </c>
      <c r="Q528" s="617">
        <v>23076.963854405385</v>
      </c>
      <c r="R528" s="617">
        <v>20285.808409723388</v>
      </c>
      <c r="S528" s="617">
        <v>24996.716478703202</v>
      </c>
      <c r="T528" s="617">
        <v>29707.624547683012</v>
      </c>
      <c r="U528" s="617">
        <v>34418.532616662822</v>
      </c>
      <c r="V528" s="617">
        <v>39129.440685642636</v>
      </c>
      <c r="W528" s="617">
        <v>43840.34875462245</v>
      </c>
      <c r="X528" s="617">
        <v>46210.108078906756</v>
      </c>
      <c r="Y528" s="617">
        <v>48579.86740319107</v>
      </c>
      <c r="Z528" s="617">
        <v>50949.626727475377</v>
      </c>
      <c r="AA528" s="617">
        <v>53319.386051759691</v>
      </c>
      <c r="AB528" s="304">
        <v>55689.145376043998</v>
      </c>
      <c r="AC528" s="304"/>
      <c r="AD528" s="304"/>
      <c r="AE528" s="304"/>
      <c r="AF528" s="304"/>
      <c r="AG528" s="304"/>
      <c r="AH528" s="304"/>
      <c r="AI528" s="304"/>
      <c r="AJ528" s="304"/>
      <c r="AK528" s="304"/>
      <c r="AL528" s="304"/>
      <c r="AM528" s="304"/>
      <c r="AN528" s="304"/>
      <c r="AO528" s="304"/>
      <c r="AP528" s="163"/>
    </row>
    <row r="529" spans="2:42" x14ac:dyDescent="0.3">
      <c r="B529" s="6"/>
      <c r="C529" s="6"/>
      <c r="D529" s="6">
        <f t="shared" si="38"/>
        <v>13</v>
      </c>
      <c r="E529" s="638" t="str">
        <f t="shared" si="37"/>
        <v>Market Price Effects - Wholesale Capacity</v>
      </c>
      <c r="F529" s="303"/>
      <c r="G529" s="304"/>
      <c r="H529" s="304"/>
      <c r="I529" s="304">
        <v>0</v>
      </c>
      <c r="J529" s="304">
        <v>0</v>
      </c>
      <c r="K529" s="304">
        <v>0</v>
      </c>
      <c r="L529" s="617">
        <v>0</v>
      </c>
      <c r="M529" s="617">
        <v>0</v>
      </c>
      <c r="N529" s="617">
        <v>0</v>
      </c>
      <c r="O529" s="617">
        <v>0</v>
      </c>
      <c r="P529" s="617">
        <v>0</v>
      </c>
      <c r="Q529" s="617">
        <v>0</v>
      </c>
      <c r="R529" s="617">
        <v>0</v>
      </c>
      <c r="S529" s="617">
        <v>0</v>
      </c>
      <c r="T529" s="617">
        <v>0</v>
      </c>
      <c r="U529" s="617">
        <v>0</v>
      </c>
      <c r="V529" s="617">
        <v>0</v>
      </c>
      <c r="W529" s="617">
        <v>0</v>
      </c>
      <c r="X529" s="617">
        <v>0</v>
      </c>
      <c r="Y529" s="617">
        <v>0</v>
      </c>
      <c r="Z529" s="617">
        <v>0</v>
      </c>
      <c r="AA529" s="617">
        <v>0</v>
      </c>
      <c r="AB529" s="304">
        <v>0</v>
      </c>
      <c r="AC529" s="304"/>
      <c r="AD529" s="304"/>
      <c r="AE529" s="304"/>
      <c r="AF529" s="304"/>
      <c r="AG529" s="304"/>
      <c r="AH529" s="304"/>
      <c r="AI529" s="304"/>
      <c r="AJ529" s="304"/>
      <c r="AK529" s="304"/>
      <c r="AL529" s="304"/>
      <c r="AM529" s="304"/>
      <c r="AN529" s="304"/>
      <c r="AO529" s="304"/>
      <c r="AP529" s="163"/>
    </row>
    <row r="530" spans="2:42" x14ac:dyDescent="0.3">
      <c r="B530" s="6"/>
      <c r="C530" s="6"/>
      <c r="D530" s="6">
        <f t="shared" si="38"/>
        <v>13</v>
      </c>
      <c r="E530" s="639" t="str">
        <f t="shared" si="37"/>
        <v>Avoided Cost of Participant Backup Generator</v>
      </c>
      <c r="F530" s="303"/>
      <c r="G530" s="303"/>
      <c r="H530" s="303"/>
      <c r="I530" s="303">
        <v>0</v>
      </c>
      <c r="J530" s="303">
        <v>0</v>
      </c>
      <c r="K530" s="303">
        <v>0</v>
      </c>
      <c r="L530" s="303">
        <v>0</v>
      </c>
      <c r="M530" s="303">
        <v>0</v>
      </c>
      <c r="N530" s="303">
        <v>0</v>
      </c>
      <c r="O530" s="303">
        <v>0</v>
      </c>
      <c r="P530" s="303">
        <v>0</v>
      </c>
      <c r="Q530" s="303">
        <v>0</v>
      </c>
      <c r="R530" s="303">
        <v>0</v>
      </c>
      <c r="S530" s="303">
        <v>0</v>
      </c>
      <c r="T530" s="303">
        <v>0</v>
      </c>
      <c r="U530" s="303">
        <v>0</v>
      </c>
      <c r="V530" s="303">
        <v>0</v>
      </c>
      <c r="W530" s="303">
        <v>0</v>
      </c>
      <c r="X530" s="303">
        <v>0</v>
      </c>
      <c r="Y530" s="303">
        <v>0</v>
      </c>
      <c r="Z530" s="303">
        <v>0</v>
      </c>
      <c r="AA530" s="303">
        <v>0</v>
      </c>
      <c r="AB530" s="303">
        <v>0</v>
      </c>
      <c r="AC530" s="303"/>
      <c r="AD530" s="303"/>
      <c r="AE530" s="303"/>
      <c r="AF530" s="303"/>
      <c r="AG530" s="303"/>
      <c r="AH530" s="303"/>
      <c r="AI530" s="303"/>
      <c r="AJ530" s="303"/>
      <c r="AK530" s="303"/>
      <c r="AL530" s="303"/>
      <c r="AM530" s="303"/>
      <c r="AN530" s="303"/>
      <c r="AO530" s="303"/>
      <c r="AP530" s="163"/>
    </row>
    <row r="531" spans="2:42" x14ac:dyDescent="0.3">
      <c r="B531" s="6"/>
      <c r="C531" s="6"/>
      <c r="D531" s="6">
        <f t="shared" si="38"/>
        <v>13</v>
      </c>
      <c r="E531" s="640" t="str">
        <f t="shared" si="37"/>
        <v>Full Eq DoD Cycle</v>
      </c>
      <c r="F531" s="303"/>
      <c r="G531" s="303"/>
      <c r="H531" s="310"/>
      <c r="I531" s="308">
        <v>365</v>
      </c>
      <c r="J531" s="308">
        <v>365</v>
      </c>
      <c r="K531" s="308">
        <v>365</v>
      </c>
      <c r="L531" s="618">
        <v>365</v>
      </c>
      <c r="M531" s="618">
        <v>365</v>
      </c>
      <c r="N531" s="618">
        <v>365</v>
      </c>
      <c r="O531" s="618">
        <v>365</v>
      </c>
      <c r="P531" s="618">
        <v>365</v>
      </c>
      <c r="Q531" s="618">
        <v>365</v>
      </c>
      <c r="R531" s="618">
        <v>365</v>
      </c>
      <c r="S531" s="618">
        <v>365</v>
      </c>
      <c r="T531" s="618">
        <v>365</v>
      </c>
      <c r="U531" s="618">
        <v>365</v>
      </c>
      <c r="V531" s="618">
        <v>365</v>
      </c>
      <c r="W531" s="618">
        <v>365</v>
      </c>
      <c r="X531" s="618">
        <v>365</v>
      </c>
      <c r="Y531" s="618">
        <v>365</v>
      </c>
      <c r="Z531" s="618">
        <v>365</v>
      </c>
      <c r="AA531" s="618">
        <v>365</v>
      </c>
      <c r="AB531" s="308">
        <v>365</v>
      </c>
      <c r="AC531" s="309"/>
      <c r="AD531" s="309"/>
      <c r="AE531" s="309"/>
      <c r="AF531" s="309"/>
      <c r="AG531" s="309"/>
      <c r="AH531" s="309"/>
      <c r="AI531" s="309"/>
      <c r="AJ531" s="309"/>
      <c r="AK531" s="309"/>
      <c r="AL531" s="309"/>
      <c r="AM531" s="309"/>
      <c r="AN531" s="309"/>
      <c r="AO531" s="309"/>
      <c r="AP531" s="163"/>
    </row>
    <row r="532" spans="2:42" x14ac:dyDescent="0.3">
      <c r="B532" s="6"/>
      <c r="C532" s="6"/>
      <c r="D532" s="6">
        <f t="shared" si="38"/>
        <v>13</v>
      </c>
      <c r="E532" s="640" t="str">
        <f t="shared" si="37"/>
        <v>Export MWh</v>
      </c>
      <c r="F532" s="303"/>
      <c r="G532" s="303"/>
      <c r="H532" s="310"/>
      <c r="I532" s="308"/>
      <c r="J532" s="308"/>
      <c r="K532" s="308"/>
      <c r="L532" s="618"/>
      <c r="M532" s="618"/>
      <c r="N532" s="618"/>
      <c r="O532" s="618"/>
      <c r="P532" s="618"/>
      <c r="Q532" s="618"/>
      <c r="R532" s="618"/>
      <c r="S532" s="618"/>
      <c r="T532" s="618"/>
      <c r="U532" s="618"/>
      <c r="V532" s="618"/>
      <c r="W532" s="618"/>
      <c r="X532" s="618"/>
      <c r="Y532" s="618"/>
      <c r="Z532" s="618"/>
      <c r="AA532" s="618"/>
      <c r="AB532" s="308"/>
      <c r="AC532" s="309"/>
      <c r="AD532" s="309"/>
      <c r="AE532" s="309"/>
      <c r="AF532" s="309"/>
      <c r="AG532" s="309"/>
      <c r="AH532" s="309"/>
      <c r="AI532" s="309"/>
      <c r="AJ532" s="309"/>
      <c r="AK532" s="309"/>
      <c r="AL532" s="309"/>
      <c r="AM532" s="309"/>
      <c r="AN532" s="309"/>
      <c r="AO532" s="309"/>
      <c r="AP532" s="163"/>
    </row>
    <row r="533" spans="2:42" x14ac:dyDescent="0.3">
      <c r="B533" s="6"/>
      <c r="C533" s="6"/>
      <c r="D533" s="6">
        <f t="shared" si="38"/>
        <v>13</v>
      </c>
      <c r="E533" s="640" t="str">
        <f t="shared" si="37"/>
        <v>Charge MWh</v>
      </c>
      <c r="F533" s="303"/>
      <c r="G533" s="303"/>
      <c r="H533" s="310"/>
      <c r="I533" s="311"/>
      <c r="J533" s="311"/>
      <c r="K533" s="311"/>
      <c r="L533" s="619"/>
      <c r="M533" s="619"/>
      <c r="N533" s="619"/>
      <c r="O533" s="619"/>
      <c r="P533" s="619"/>
      <c r="Q533" s="619"/>
      <c r="R533" s="619"/>
      <c r="S533" s="619"/>
      <c r="T533" s="619"/>
      <c r="U533" s="619"/>
      <c r="V533" s="619"/>
      <c r="W533" s="619"/>
      <c r="X533" s="619"/>
      <c r="Y533" s="619"/>
      <c r="Z533" s="619"/>
      <c r="AA533" s="619"/>
      <c r="AB533" s="311"/>
      <c r="AC533" s="313"/>
      <c r="AD533" s="313"/>
      <c r="AE533" s="313"/>
      <c r="AF533" s="313"/>
      <c r="AG533" s="313"/>
      <c r="AH533" s="313"/>
      <c r="AI533" s="313"/>
      <c r="AJ533" s="313"/>
      <c r="AK533" s="313"/>
      <c r="AL533" s="313"/>
      <c r="AM533" s="313"/>
      <c r="AN533" s="313"/>
      <c r="AO533" s="313"/>
      <c r="AP533" s="163"/>
    </row>
    <row r="534" spans="2:42" x14ac:dyDescent="0.3">
      <c r="B534" s="6"/>
      <c r="C534" s="6"/>
      <c r="D534" s="6">
        <f t="shared" si="38"/>
        <v>13</v>
      </c>
      <c r="E534" s="641" t="str">
        <f t="shared" si="37"/>
        <v>Total ESS Charge MWh</v>
      </c>
      <c r="F534" s="303"/>
      <c r="G534" s="303"/>
      <c r="H534" s="310"/>
      <c r="I534" s="308">
        <v>1717.6470577685113</v>
      </c>
      <c r="J534" s="308">
        <v>1717.6470549548294</v>
      </c>
      <c r="K534" s="308">
        <v>1717.6470559780121</v>
      </c>
      <c r="L534" s="618">
        <v>1717.64705772659</v>
      </c>
      <c r="M534" s="618">
        <v>1717.6470585412067</v>
      </c>
      <c r="N534" s="618">
        <v>1717.6470582399609</v>
      </c>
      <c r="O534" s="618">
        <v>1717.6470579387151</v>
      </c>
      <c r="P534" s="618">
        <v>1717.6470576374691</v>
      </c>
      <c r="Q534" s="618">
        <v>1717.6470573362233</v>
      </c>
      <c r="R534" s="618">
        <v>1717.6470570349775</v>
      </c>
      <c r="S534" s="618">
        <v>1717.6470296526804</v>
      </c>
      <c r="T534" s="618">
        <v>1717.6470022703834</v>
      </c>
      <c r="U534" s="618">
        <v>1717.6469748880863</v>
      </c>
      <c r="V534" s="618">
        <v>1717.6469475057893</v>
      </c>
      <c r="W534" s="618">
        <v>1717.6469201234922</v>
      </c>
      <c r="X534" s="618">
        <v>1717.6469381725756</v>
      </c>
      <c r="Y534" s="618">
        <v>1717.6469562216589</v>
      </c>
      <c r="Z534" s="618">
        <v>1717.646974270742</v>
      </c>
      <c r="AA534" s="618">
        <v>1717.6469923198254</v>
      </c>
      <c r="AB534" s="308">
        <v>1717.6470103689087</v>
      </c>
      <c r="AC534" s="309"/>
      <c r="AD534" s="309"/>
      <c r="AE534" s="309"/>
      <c r="AF534" s="309"/>
      <c r="AG534" s="309"/>
      <c r="AH534" s="309"/>
      <c r="AI534" s="309"/>
      <c r="AJ534" s="309"/>
      <c r="AK534" s="309"/>
      <c r="AL534" s="309"/>
      <c r="AM534" s="309"/>
      <c r="AN534" s="309"/>
      <c r="AO534" s="309"/>
      <c r="AP534" s="163"/>
    </row>
    <row r="535" spans="2:42" x14ac:dyDescent="0.3">
      <c r="B535" s="6"/>
      <c r="C535" s="6"/>
      <c r="D535" s="6">
        <f t="shared" si="38"/>
        <v>13</v>
      </c>
      <c r="E535" s="642" t="str">
        <f t="shared" si="37"/>
        <v>Avg Generation Capacity</v>
      </c>
      <c r="F535" s="303"/>
      <c r="G535" s="303"/>
      <c r="H535" s="310"/>
      <c r="I535" s="308">
        <v>0</v>
      </c>
      <c r="J535" s="308">
        <v>6.2500000000000001E-4</v>
      </c>
      <c r="K535" s="308">
        <v>0</v>
      </c>
      <c r="L535" s="308">
        <v>0</v>
      </c>
      <c r="M535" s="308">
        <v>0</v>
      </c>
      <c r="N535" s="308">
        <v>0</v>
      </c>
      <c r="O535" s="308">
        <v>0</v>
      </c>
      <c r="P535" s="308">
        <v>0</v>
      </c>
      <c r="Q535" s="308">
        <v>0</v>
      </c>
      <c r="R535" s="308">
        <v>0</v>
      </c>
      <c r="S535" s="308">
        <v>0</v>
      </c>
      <c r="T535" s="308">
        <v>0</v>
      </c>
      <c r="U535" s="308">
        <v>0</v>
      </c>
      <c r="V535" s="308">
        <v>0</v>
      </c>
      <c r="W535" s="308">
        <v>0</v>
      </c>
      <c r="X535" s="308">
        <v>0</v>
      </c>
      <c r="Y535" s="308">
        <v>0</v>
      </c>
      <c r="Z535" s="308">
        <v>0</v>
      </c>
      <c r="AA535" s="308">
        <v>0</v>
      </c>
      <c r="AB535" s="308">
        <v>0</v>
      </c>
      <c r="AC535" s="309"/>
      <c r="AD535" s="309"/>
      <c r="AE535" s="309"/>
      <c r="AF535" s="309"/>
      <c r="AG535" s="309"/>
      <c r="AH535" s="309"/>
      <c r="AI535" s="309"/>
      <c r="AJ535" s="309"/>
      <c r="AK535" s="309"/>
      <c r="AL535" s="309"/>
      <c r="AM535" s="309"/>
      <c r="AN535" s="309"/>
      <c r="AO535" s="309"/>
      <c r="AP535" s="163"/>
    </row>
    <row r="536" spans="2:42" x14ac:dyDescent="0.3">
      <c r="B536" s="6"/>
      <c r="C536" s="6"/>
      <c r="D536" s="6">
        <f t="shared" si="38"/>
        <v>13</v>
      </c>
      <c r="E536" s="642" t="str">
        <f t="shared" si="37"/>
        <v>Avg Transmission Capacity</v>
      </c>
      <c r="F536" s="303"/>
      <c r="G536" s="303"/>
      <c r="H536" s="310"/>
      <c r="I536" s="308">
        <v>0</v>
      </c>
      <c r="J536" s="308">
        <v>6.2500000000000001E-4</v>
      </c>
      <c r="K536" s="308">
        <v>0</v>
      </c>
      <c r="L536" s="308">
        <v>0</v>
      </c>
      <c r="M536" s="308">
        <v>0</v>
      </c>
      <c r="N536" s="308">
        <v>0</v>
      </c>
      <c r="O536" s="308">
        <v>0</v>
      </c>
      <c r="P536" s="308">
        <v>0</v>
      </c>
      <c r="Q536" s="308">
        <v>0</v>
      </c>
      <c r="R536" s="308">
        <v>0</v>
      </c>
      <c r="S536" s="308">
        <v>0</v>
      </c>
      <c r="T536" s="308">
        <v>0</v>
      </c>
      <c r="U536" s="308">
        <v>0</v>
      </c>
      <c r="V536" s="308">
        <v>0</v>
      </c>
      <c r="W536" s="308">
        <v>0</v>
      </c>
      <c r="X536" s="308">
        <v>0</v>
      </c>
      <c r="Y536" s="308">
        <v>0</v>
      </c>
      <c r="Z536" s="308">
        <v>0</v>
      </c>
      <c r="AA536" s="308">
        <v>0</v>
      </c>
      <c r="AB536" s="308">
        <v>0</v>
      </c>
      <c r="AC536" s="309"/>
      <c r="AD536" s="309"/>
      <c r="AE536" s="309"/>
      <c r="AF536" s="309"/>
      <c r="AG536" s="309"/>
      <c r="AH536" s="309"/>
      <c r="AI536" s="309"/>
      <c r="AJ536" s="309"/>
      <c r="AK536" s="309"/>
      <c r="AL536" s="309"/>
      <c r="AM536" s="309"/>
      <c r="AN536" s="309"/>
      <c r="AO536" s="309"/>
      <c r="AP536" s="163"/>
    </row>
    <row r="537" spans="2:42" x14ac:dyDescent="0.3">
      <c r="B537" s="6"/>
      <c r="C537" s="6"/>
      <c r="D537" s="6">
        <f t="shared" si="38"/>
        <v>13</v>
      </c>
      <c r="E537" s="642" t="str">
        <f t="shared" si="37"/>
        <v>Avg Distribution Capacity</v>
      </c>
      <c r="F537" s="303"/>
      <c r="G537" s="303"/>
      <c r="H537" s="310"/>
      <c r="I537" s="308">
        <v>0</v>
      </c>
      <c r="J537" s="308">
        <v>0</v>
      </c>
      <c r="K537" s="308">
        <v>3.9215686274509812E-3</v>
      </c>
      <c r="L537" s="618">
        <v>8.6772183127462477E-4</v>
      </c>
      <c r="M537" s="618">
        <v>0</v>
      </c>
      <c r="N537" s="618">
        <v>0</v>
      </c>
      <c r="O537" s="618">
        <v>0</v>
      </c>
      <c r="P537" s="618">
        <v>0</v>
      </c>
      <c r="Q537" s="618">
        <v>0</v>
      </c>
      <c r="R537" s="618">
        <v>0</v>
      </c>
      <c r="S537" s="618">
        <v>3.4837848613608239E-4</v>
      </c>
      <c r="T537" s="618">
        <v>6.9675697227216478E-4</v>
      </c>
      <c r="U537" s="618">
        <v>1.0451354584082471E-3</v>
      </c>
      <c r="V537" s="618">
        <v>1.161261620453608E-3</v>
      </c>
      <c r="W537" s="618">
        <v>1.4515770255670098E-3</v>
      </c>
      <c r="X537" s="618">
        <v>2.8279282871202746E-3</v>
      </c>
      <c r="Y537" s="618">
        <v>4.2042795486735398E-3</v>
      </c>
      <c r="Z537" s="618">
        <v>5.5806308102268037E-3</v>
      </c>
      <c r="AA537" s="618">
        <v>6.9569820717800684E-3</v>
      </c>
      <c r="AB537" s="308">
        <v>8.3333333333333332E-3</v>
      </c>
      <c r="AC537" s="309"/>
      <c r="AD537" s="309"/>
      <c r="AE537" s="309"/>
      <c r="AF537" s="309"/>
      <c r="AG537" s="309"/>
      <c r="AH537" s="309"/>
      <c r="AI537" s="309"/>
      <c r="AJ537" s="309"/>
      <c r="AK537" s="309"/>
      <c r="AL537" s="309"/>
      <c r="AM537" s="309"/>
      <c r="AN537" s="309"/>
      <c r="AO537" s="309"/>
      <c r="AP537" s="163"/>
    </row>
    <row r="538" spans="2:42" x14ac:dyDescent="0.3">
      <c r="B538" s="6"/>
      <c r="C538" s="6"/>
      <c r="D538" s="6">
        <f t="shared" si="38"/>
        <v>13</v>
      </c>
      <c r="E538" s="642" t="str">
        <f t="shared" si="37"/>
        <v>GHG Impacts</v>
      </c>
      <c r="F538" s="303"/>
      <c r="G538" s="303"/>
      <c r="H538" s="310"/>
      <c r="I538" s="308">
        <v>1716.5419562923739</v>
      </c>
      <c r="J538" s="308">
        <v>1708.7588100280727</v>
      </c>
      <c r="K538" s="308">
        <v>1690.7941635874663</v>
      </c>
      <c r="L538" s="618">
        <v>1632.0350238753058</v>
      </c>
      <c r="M538" s="618">
        <v>1515.3316308553426</v>
      </c>
      <c r="N538" s="618">
        <v>1393.067920015121</v>
      </c>
      <c r="O538" s="618">
        <v>1270.8042091748996</v>
      </c>
      <c r="P538" s="618">
        <v>1148.540498334678</v>
      </c>
      <c r="Q538" s="618">
        <v>1026.2767874944566</v>
      </c>
      <c r="R538" s="618">
        <v>904.01307665423496</v>
      </c>
      <c r="S538" s="618">
        <v>836.68981537482659</v>
      </c>
      <c r="T538" s="618">
        <v>769.36655409541822</v>
      </c>
      <c r="U538" s="618">
        <v>702.04329281600974</v>
      </c>
      <c r="V538" s="618">
        <v>634.72003153660137</v>
      </c>
      <c r="W538" s="618">
        <v>567.396770257193</v>
      </c>
      <c r="X538" s="618">
        <v>511.4475919640422</v>
      </c>
      <c r="Y538" s="618">
        <v>455.49841367089141</v>
      </c>
      <c r="Z538" s="618">
        <v>399.54923537774067</v>
      </c>
      <c r="AA538" s="618">
        <v>343.60005708458988</v>
      </c>
      <c r="AB538" s="308">
        <v>287.65087879143908</v>
      </c>
      <c r="AC538" s="309"/>
      <c r="AD538" s="309"/>
      <c r="AE538" s="309"/>
      <c r="AF538" s="309"/>
      <c r="AG538" s="309"/>
      <c r="AH538" s="309"/>
      <c r="AI538" s="309"/>
      <c r="AJ538" s="309"/>
      <c r="AK538" s="309"/>
      <c r="AL538" s="309"/>
      <c r="AM538" s="309"/>
      <c r="AN538" s="309"/>
      <c r="AO538" s="309"/>
      <c r="AP538" s="163"/>
    </row>
    <row r="539" spans="2:42" x14ac:dyDescent="0.3">
      <c r="B539" s="6"/>
      <c r="C539" s="6"/>
      <c r="D539" s="6">
        <f t="shared" si="38"/>
        <v>13</v>
      </c>
      <c r="E539" s="642" t="str">
        <f t="shared" si="37"/>
        <v>Market Price Effects - Wholesale Energy</v>
      </c>
      <c r="F539" s="303"/>
      <c r="G539" s="303"/>
      <c r="H539" s="310"/>
      <c r="I539" s="308">
        <v>1717.6470577685125</v>
      </c>
      <c r="J539" s="308">
        <v>1717.6470549548294</v>
      </c>
      <c r="K539" s="308">
        <v>1717.6470559780109</v>
      </c>
      <c r="L539" s="618">
        <v>1717.6470577265927</v>
      </c>
      <c r="M539" s="618">
        <v>1717.6470585412035</v>
      </c>
      <c r="N539" s="618">
        <v>1717.6470582399584</v>
      </c>
      <c r="O539" s="618">
        <v>1717.6470579387133</v>
      </c>
      <c r="P539" s="618">
        <v>1717.6470576374679</v>
      </c>
      <c r="Q539" s="618">
        <v>1717.6470573362228</v>
      </c>
      <c r="R539" s="618">
        <v>1717.6470570349777</v>
      </c>
      <c r="S539" s="618">
        <v>1717.6470296526802</v>
      </c>
      <c r="T539" s="618">
        <v>1717.6470022703827</v>
      </c>
      <c r="U539" s="618">
        <v>1717.646974888085</v>
      </c>
      <c r="V539" s="618">
        <v>1717.6469475057875</v>
      </c>
      <c r="W539" s="618">
        <v>1717.64692012349</v>
      </c>
      <c r="X539" s="618">
        <v>1717.6469381725749</v>
      </c>
      <c r="Y539" s="618">
        <v>1717.6469562216598</v>
      </c>
      <c r="Z539" s="618">
        <v>1717.646974270745</v>
      </c>
      <c r="AA539" s="618">
        <v>1717.6469923198299</v>
      </c>
      <c r="AB539" s="308">
        <v>1717.6470103689148</v>
      </c>
      <c r="AC539" s="309"/>
      <c r="AD539" s="309"/>
      <c r="AE539" s="309"/>
      <c r="AF539" s="309"/>
      <c r="AG539" s="309"/>
      <c r="AH539" s="309"/>
      <c r="AI539" s="309"/>
      <c r="AJ539" s="309"/>
      <c r="AK539" s="309"/>
      <c r="AL539" s="309"/>
      <c r="AM539" s="309"/>
      <c r="AN539" s="309"/>
      <c r="AO539" s="309"/>
      <c r="AP539" s="163"/>
    </row>
    <row r="540" spans="2:42" x14ac:dyDescent="0.3">
      <c r="B540" s="6"/>
      <c r="C540" s="6"/>
      <c r="D540" s="6">
        <f t="shared" si="38"/>
        <v>13</v>
      </c>
      <c r="E540" s="643" t="str">
        <f t="shared" si="37"/>
        <v>Market Price Effects - Wholesale Capacity</v>
      </c>
      <c r="F540" s="303"/>
      <c r="I540" s="308">
        <v>0</v>
      </c>
      <c r="J540" s="308">
        <v>0</v>
      </c>
      <c r="K540" s="308">
        <v>0</v>
      </c>
      <c r="L540" s="618">
        <v>0</v>
      </c>
      <c r="M540" s="618">
        <v>0</v>
      </c>
      <c r="N540" s="618">
        <v>0</v>
      </c>
      <c r="O540" s="618">
        <v>0</v>
      </c>
      <c r="P540" s="618">
        <v>0</v>
      </c>
      <c r="Q540" s="618">
        <v>0</v>
      </c>
      <c r="R540" s="618">
        <v>0</v>
      </c>
      <c r="S540" s="618">
        <v>0</v>
      </c>
      <c r="T540" s="618">
        <v>0</v>
      </c>
      <c r="U540" s="618">
        <v>0</v>
      </c>
      <c r="V540" s="618">
        <v>0</v>
      </c>
      <c r="W540" s="618">
        <v>0</v>
      </c>
      <c r="X540" s="618">
        <v>0</v>
      </c>
      <c r="Y540" s="618">
        <v>0</v>
      </c>
      <c r="Z540" s="618">
        <v>0</v>
      </c>
      <c r="AA540" s="618">
        <v>0</v>
      </c>
      <c r="AB540" s="308">
        <v>0</v>
      </c>
      <c r="AC540" s="309"/>
      <c r="AD540" s="309"/>
      <c r="AE540" s="309"/>
      <c r="AF540" s="309"/>
      <c r="AG540" s="309"/>
      <c r="AH540" s="309"/>
      <c r="AI540" s="309"/>
      <c r="AJ540" s="309"/>
      <c r="AK540" s="309"/>
      <c r="AL540" s="309"/>
      <c r="AM540" s="309"/>
      <c r="AN540" s="309"/>
      <c r="AO540" s="309"/>
      <c r="AP540" s="163"/>
    </row>
    <row r="541" spans="2:42" x14ac:dyDescent="0.3">
      <c r="B541" s="6"/>
      <c r="C541" s="6"/>
      <c r="D541" s="6">
        <f t="shared" si="38"/>
        <v>13</v>
      </c>
      <c r="E541" s="640" t="str">
        <f t="shared" si="37"/>
        <v>Disharge MWh</v>
      </c>
      <c r="I541" s="505"/>
      <c r="J541" s="505"/>
      <c r="K541" s="505"/>
      <c r="L541" s="505"/>
      <c r="M541" s="505"/>
      <c r="N541" s="505"/>
      <c r="O541" s="505"/>
      <c r="P541" s="505"/>
      <c r="Q541" s="505"/>
      <c r="R541" s="505"/>
      <c r="S541" s="505"/>
      <c r="T541" s="505"/>
      <c r="U541" s="505"/>
      <c r="V541" s="505"/>
      <c r="W541" s="505"/>
      <c r="X541" s="505"/>
      <c r="Y541" s="505"/>
      <c r="Z541" s="505"/>
      <c r="AA541" s="505"/>
      <c r="AB541" s="505"/>
      <c r="AC541" s="15"/>
      <c r="AD541" s="15"/>
      <c r="AE541" s="15"/>
      <c r="AF541" s="15"/>
      <c r="AG541" s="15"/>
      <c r="AH541" s="15"/>
      <c r="AI541" s="15"/>
      <c r="AJ541" s="15"/>
      <c r="AK541" s="15"/>
      <c r="AL541" s="15"/>
      <c r="AM541" s="15"/>
      <c r="AN541" s="15"/>
      <c r="AO541" s="15"/>
      <c r="AP541" s="163"/>
    </row>
    <row r="542" spans="2:42" x14ac:dyDescent="0.3">
      <c r="B542" s="6"/>
      <c r="C542" s="6"/>
      <c r="D542" s="6">
        <f t="shared" si="38"/>
        <v>13</v>
      </c>
      <c r="E542" s="641" t="str">
        <f t="shared" si="37"/>
        <v>Total ESS DCharge MWh</v>
      </c>
      <c r="I542" s="308">
        <v>1460.000003189047</v>
      </c>
      <c r="J542" s="308">
        <v>1459.9999988149257</v>
      </c>
      <c r="K542" s="308">
        <v>1459.9999991008613</v>
      </c>
      <c r="L542" s="618">
        <v>1459.9999996326399</v>
      </c>
      <c r="M542" s="618">
        <v>1460.0000047595231</v>
      </c>
      <c r="N542" s="618">
        <v>1460.0000037518848</v>
      </c>
      <c r="O542" s="618">
        <v>1460.0000027442468</v>
      </c>
      <c r="P542" s="618">
        <v>1460.0000017366085</v>
      </c>
      <c r="Q542" s="618">
        <v>1460.0000007289705</v>
      </c>
      <c r="R542" s="618">
        <v>1459.9999997213322</v>
      </c>
      <c r="S542" s="618">
        <v>1459.9999998580945</v>
      </c>
      <c r="T542" s="618">
        <v>1459.9999999948566</v>
      </c>
      <c r="U542" s="618">
        <v>1460.0000001316189</v>
      </c>
      <c r="V542" s="618">
        <v>1460.000000268381</v>
      </c>
      <c r="W542" s="618">
        <v>1460.0000004051433</v>
      </c>
      <c r="X542" s="618">
        <v>1460.0000003370365</v>
      </c>
      <c r="Y542" s="618">
        <v>1460.0000002689296</v>
      </c>
      <c r="Z542" s="618">
        <v>1460.0000002008228</v>
      </c>
      <c r="AA542" s="618">
        <v>1460.000000132716</v>
      </c>
      <c r="AB542" s="308">
        <v>1460.0000000646091</v>
      </c>
      <c r="AC542" s="309"/>
      <c r="AD542" s="309"/>
      <c r="AE542" s="309"/>
      <c r="AF542" s="309"/>
      <c r="AG542" s="309"/>
      <c r="AH542" s="309"/>
      <c r="AI542" s="309"/>
      <c r="AJ542" s="309"/>
      <c r="AK542" s="309"/>
      <c r="AL542" s="309"/>
      <c r="AM542" s="309"/>
      <c r="AN542" s="309"/>
      <c r="AO542" s="309"/>
      <c r="AP542" s="163"/>
    </row>
    <row r="543" spans="2:42" x14ac:dyDescent="0.3">
      <c r="B543" s="6"/>
      <c r="C543" s="6"/>
      <c r="D543" s="6">
        <f t="shared" si="38"/>
        <v>13</v>
      </c>
      <c r="E543" s="642" t="str">
        <f t="shared" si="37"/>
        <v>Avg Generation Capacity</v>
      </c>
      <c r="F543" s="303"/>
      <c r="I543" s="308">
        <v>0.99833727446737763</v>
      </c>
      <c r="J543" s="308">
        <v>0.99960168206639499</v>
      </c>
      <c r="K543" s="308">
        <v>0.79915611606700221</v>
      </c>
      <c r="L543" s="618">
        <v>0.79867638880169489</v>
      </c>
      <c r="M543" s="618">
        <v>0.79824292293454557</v>
      </c>
      <c r="N543" s="618">
        <v>0.79837004517888455</v>
      </c>
      <c r="O543" s="618">
        <v>0.79849716742322352</v>
      </c>
      <c r="P543" s="618">
        <v>0.79862428966756271</v>
      </c>
      <c r="Q543" s="618">
        <v>0.79875141191190169</v>
      </c>
      <c r="R543" s="618">
        <v>0.79887853415624066</v>
      </c>
      <c r="S543" s="618">
        <v>0.79901045123903958</v>
      </c>
      <c r="T543" s="618">
        <v>0.79914236832183849</v>
      </c>
      <c r="U543" s="618">
        <v>0.79927428540463719</v>
      </c>
      <c r="V543" s="618">
        <v>0.66617183540619673</v>
      </c>
      <c r="W543" s="618">
        <v>0.6662817663085292</v>
      </c>
      <c r="X543" s="618">
        <v>0.66624430904867937</v>
      </c>
      <c r="Y543" s="618">
        <v>0.66620685178882944</v>
      </c>
      <c r="Z543" s="618">
        <v>0.66616939452897972</v>
      </c>
      <c r="AA543" s="618">
        <v>0.66613193726912978</v>
      </c>
      <c r="AB543" s="308">
        <v>0.66609448000927995</v>
      </c>
      <c r="AC543" s="309"/>
      <c r="AD543" s="309"/>
      <c r="AE543" s="309"/>
      <c r="AF543" s="309"/>
      <c r="AG543" s="309"/>
      <c r="AH543" s="309"/>
      <c r="AI543" s="309"/>
      <c r="AJ543" s="309"/>
      <c r="AK543" s="309"/>
      <c r="AL543" s="309"/>
      <c r="AM543" s="309"/>
      <c r="AN543" s="309"/>
      <c r="AO543" s="309"/>
      <c r="AP543" s="163"/>
    </row>
    <row r="544" spans="2:42" x14ac:dyDescent="0.3">
      <c r="B544" s="6"/>
      <c r="C544" s="6"/>
      <c r="D544" s="6">
        <f t="shared" si="38"/>
        <v>13</v>
      </c>
      <c r="E544" s="642" t="str">
        <f t="shared" si="37"/>
        <v>Avg Transmission Capacity</v>
      </c>
      <c r="F544" s="303"/>
      <c r="I544" s="308">
        <v>0.99833727446737763</v>
      </c>
      <c r="J544" s="308">
        <v>0.99960168206639499</v>
      </c>
      <c r="K544" s="308">
        <v>0.79915611606700221</v>
      </c>
      <c r="L544" s="618">
        <v>0.79867638880169489</v>
      </c>
      <c r="M544" s="618">
        <v>0.79824292293454557</v>
      </c>
      <c r="N544" s="618">
        <v>0.79837004517888455</v>
      </c>
      <c r="O544" s="618">
        <v>0.79849716742322352</v>
      </c>
      <c r="P544" s="618">
        <v>0.79862428966756271</v>
      </c>
      <c r="Q544" s="618">
        <v>0.79875141191190169</v>
      </c>
      <c r="R544" s="618">
        <v>0.79887853415624066</v>
      </c>
      <c r="S544" s="618">
        <v>0.79901045123903958</v>
      </c>
      <c r="T544" s="618">
        <v>0.79914236832183849</v>
      </c>
      <c r="U544" s="618">
        <v>0.79927428540463719</v>
      </c>
      <c r="V544" s="618">
        <v>0.66617183540619673</v>
      </c>
      <c r="W544" s="618">
        <v>0.6662817663085292</v>
      </c>
      <c r="X544" s="618">
        <v>0.66624430904867937</v>
      </c>
      <c r="Y544" s="618">
        <v>0.66620685178882944</v>
      </c>
      <c r="Z544" s="618">
        <v>0.66616939452897972</v>
      </c>
      <c r="AA544" s="618">
        <v>0.66613193726912978</v>
      </c>
      <c r="AB544" s="308">
        <v>0.66609448000927995</v>
      </c>
      <c r="AC544" s="309"/>
      <c r="AD544" s="309"/>
      <c r="AE544" s="309"/>
      <c r="AF544" s="309"/>
      <c r="AG544" s="309"/>
      <c r="AH544" s="309"/>
      <c r="AI544" s="309"/>
      <c r="AJ544" s="309"/>
      <c r="AK544" s="309"/>
      <c r="AL544" s="309"/>
      <c r="AM544" s="309"/>
      <c r="AN544" s="309"/>
      <c r="AO544" s="309"/>
      <c r="AP544" s="163"/>
    </row>
    <row r="545" spans="2:42" x14ac:dyDescent="0.3">
      <c r="B545" s="6"/>
      <c r="C545" s="6"/>
      <c r="D545" s="6">
        <f t="shared" si="38"/>
        <v>13</v>
      </c>
      <c r="E545" s="642" t="str">
        <f t="shared" si="37"/>
        <v>Avg Distribution Capacity</v>
      </c>
      <c r="F545" s="303"/>
      <c r="I545" s="308">
        <v>0.94844048389693703</v>
      </c>
      <c r="J545" s="308">
        <v>0.97163010141381034</v>
      </c>
      <c r="K545" s="308">
        <v>0.79745960496787349</v>
      </c>
      <c r="L545" s="618">
        <v>0.78881476527253858</v>
      </c>
      <c r="M545" s="618">
        <v>0.7982112327449209</v>
      </c>
      <c r="N545" s="618">
        <v>0.79828952951231158</v>
      </c>
      <c r="O545" s="618">
        <v>0.79836782627970226</v>
      </c>
      <c r="P545" s="618">
        <v>0.79844612304709306</v>
      </c>
      <c r="Q545" s="618">
        <v>0.79852441981448363</v>
      </c>
      <c r="R545" s="618">
        <v>0.79860271658187432</v>
      </c>
      <c r="S545" s="618">
        <v>0.79469955625683242</v>
      </c>
      <c r="T545" s="618">
        <v>0.79079639593179063</v>
      </c>
      <c r="U545" s="618">
        <v>0.78689323560674884</v>
      </c>
      <c r="V545" s="618">
        <v>0.65249172940142253</v>
      </c>
      <c r="W545" s="618">
        <v>0.64923909579722094</v>
      </c>
      <c r="X545" s="618">
        <v>0.64076657203984633</v>
      </c>
      <c r="Y545" s="618">
        <v>0.63229404828247171</v>
      </c>
      <c r="Z545" s="618">
        <v>0.62382152452509698</v>
      </c>
      <c r="AA545" s="618">
        <v>0.61534900076772236</v>
      </c>
      <c r="AB545" s="308">
        <v>0.60687647701034775</v>
      </c>
      <c r="AC545" s="309"/>
      <c r="AD545" s="309"/>
      <c r="AE545" s="309"/>
      <c r="AF545" s="309"/>
      <c r="AG545" s="309"/>
      <c r="AH545" s="309"/>
      <c r="AI545" s="309"/>
      <c r="AJ545" s="309"/>
      <c r="AK545" s="309"/>
      <c r="AL545" s="309"/>
      <c r="AM545" s="309"/>
      <c r="AN545" s="309"/>
      <c r="AO545" s="309"/>
      <c r="AP545" s="163"/>
    </row>
    <row r="546" spans="2:42" x14ac:dyDescent="0.3">
      <c r="B546" s="6"/>
      <c r="C546" s="6"/>
      <c r="D546" s="6">
        <f t="shared" si="38"/>
        <v>13</v>
      </c>
      <c r="E546" s="642" t="str">
        <f t="shared" si="37"/>
        <v>GHG Impacts</v>
      </c>
      <c r="F546" s="303"/>
      <c r="I546" s="308">
        <v>1460.0000031890481</v>
      </c>
      <c r="J546" s="308">
        <v>1459.9999988149232</v>
      </c>
      <c r="K546" s="308">
        <v>1459.9999991008604</v>
      </c>
      <c r="L546" s="618">
        <v>1459.9999996326396</v>
      </c>
      <c r="M546" s="618">
        <v>1459.6668941868566</v>
      </c>
      <c r="N546" s="618">
        <v>1459.5934549894046</v>
      </c>
      <c r="O546" s="618">
        <v>1459.5200157919528</v>
      </c>
      <c r="P546" s="618">
        <v>1459.4465765945008</v>
      </c>
      <c r="Q546" s="618">
        <v>1459.373137397049</v>
      </c>
      <c r="R546" s="618">
        <v>1459.2996981995971</v>
      </c>
      <c r="S546" s="618">
        <v>1457.9418938205163</v>
      </c>
      <c r="T546" s="618">
        <v>1456.5840894414355</v>
      </c>
      <c r="U546" s="618">
        <v>1455.2262850623547</v>
      </c>
      <c r="V546" s="618">
        <v>1453.8684806832739</v>
      </c>
      <c r="W546" s="618">
        <v>1452.5106763041931</v>
      </c>
      <c r="X546" s="618">
        <v>1450.5540320474333</v>
      </c>
      <c r="Y546" s="618">
        <v>1448.5973877906736</v>
      </c>
      <c r="Z546" s="618">
        <v>1446.6407435339136</v>
      </c>
      <c r="AA546" s="618">
        <v>1444.6840992771538</v>
      </c>
      <c r="AB546" s="308">
        <v>1442.727455020394</v>
      </c>
      <c r="AC546" s="309"/>
      <c r="AD546" s="309"/>
      <c r="AE546" s="309"/>
      <c r="AF546" s="309"/>
      <c r="AG546" s="309"/>
      <c r="AH546" s="309"/>
      <c r="AI546" s="309"/>
      <c r="AJ546" s="309"/>
      <c r="AK546" s="309"/>
      <c r="AL546" s="309"/>
      <c r="AM546" s="309"/>
      <c r="AN546" s="309"/>
      <c r="AO546" s="309"/>
      <c r="AP546" s="163"/>
    </row>
    <row r="547" spans="2:42" x14ac:dyDescent="0.3">
      <c r="B547" s="6"/>
      <c r="C547" s="6"/>
      <c r="D547" s="6">
        <f t="shared" si="38"/>
        <v>13</v>
      </c>
      <c r="E547" s="642" t="str">
        <f t="shared" si="37"/>
        <v>Market Price Effects - Wholesale Energy</v>
      </c>
      <c r="F547" s="303"/>
      <c r="I547" s="308">
        <v>1460.0000031890481</v>
      </c>
      <c r="J547" s="308">
        <v>1459.9999988149232</v>
      </c>
      <c r="K547" s="308">
        <v>1459.9999991008604</v>
      </c>
      <c r="L547" s="618">
        <v>1459.9999996326399</v>
      </c>
      <c r="M547" s="618">
        <v>1460.0000047595252</v>
      </c>
      <c r="N547" s="618">
        <v>1460.0000037518871</v>
      </c>
      <c r="O547" s="618">
        <v>1460.0000027442491</v>
      </c>
      <c r="P547" s="618">
        <v>1460.0000017366108</v>
      </c>
      <c r="Q547" s="618">
        <v>1460.0000007289727</v>
      </c>
      <c r="R547" s="618">
        <v>1459.9999997213347</v>
      </c>
      <c r="S547" s="618">
        <v>1459.9999998580968</v>
      </c>
      <c r="T547" s="618">
        <v>1459.9999999948589</v>
      </c>
      <c r="U547" s="618">
        <v>1460.0000001316209</v>
      </c>
      <c r="V547" s="618">
        <v>1460.000000268383</v>
      </c>
      <c r="W547" s="618">
        <v>1460.0000004051451</v>
      </c>
      <c r="X547" s="618">
        <v>1460.0000003370394</v>
      </c>
      <c r="Y547" s="618">
        <v>1460.0000002689335</v>
      </c>
      <c r="Z547" s="618">
        <v>1460.0000002008278</v>
      </c>
      <c r="AA547" s="618">
        <v>1460.0000001327219</v>
      </c>
      <c r="AB547" s="308">
        <v>1460.0000000646162</v>
      </c>
      <c r="AC547" s="309"/>
      <c r="AD547" s="309"/>
      <c r="AE547" s="309"/>
      <c r="AF547" s="309"/>
      <c r="AG547" s="309"/>
      <c r="AH547" s="309"/>
      <c r="AI547" s="309"/>
      <c r="AJ547" s="309"/>
      <c r="AK547" s="309"/>
      <c r="AL547" s="309"/>
      <c r="AM547" s="309"/>
      <c r="AN547" s="309"/>
      <c r="AO547" s="309"/>
      <c r="AP547" s="163"/>
    </row>
    <row r="548" spans="2:42" x14ac:dyDescent="0.3">
      <c r="B548" s="6"/>
      <c r="C548" s="6"/>
      <c r="D548" s="6">
        <f t="shared" si="38"/>
        <v>13</v>
      </c>
      <c r="E548" s="642" t="str">
        <f t="shared" si="37"/>
        <v>Market Price Effects - Wholesale Capacity</v>
      </c>
      <c r="F548" s="303"/>
      <c r="I548" s="308">
        <v>0</v>
      </c>
      <c r="J548" s="308">
        <v>0</v>
      </c>
      <c r="K548" s="308">
        <v>0</v>
      </c>
      <c r="L548" s="618">
        <v>0</v>
      </c>
      <c r="M548" s="618">
        <v>0</v>
      </c>
      <c r="N548" s="618">
        <v>0</v>
      </c>
      <c r="O548" s="618">
        <v>0</v>
      </c>
      <c r="P548" s="618">
        <v>0</v>
      </c>
      <c r="Q548" s="618">
        <v>0</v>
      </c>
      <c r="R548" s="618">
        <v>0</v>
      </c>
      <c r="S548" s="618">
        <v>0</v>
      </c>
      <c r="T548" s="618">
        <v>0</v>
      </c>
      <c r="U548" s="618">
        <v>0</v>
      </c>
      <c r="V548" s="618">
        <v>0</v>
      </c>
      <c r="W548" s="618">
        <v>0</v>
      </c>
      <c r="X548" s="618">
        <v>0</v>
      </c>
      <c r="Y548" s="618">
        <v>0</v>
      </c>
      <c r="Z548" s="618">
        <v>0</v>
      </c>
      <c r="AA548" s="618">
        <v>0</v>
      </c>
      <c r="AB548" s="308">
        <v>0</v>
      </c>
      <c r="AC548" s="309"/>
      <c r="AD548" s="309"/>
      <c r="AE548" s="309"/>
      <c r="AF548" s="309"/>
      <c r="AG548" s="309"/>
      <c r="AH548" s="309"/>
      <c r="AI548" s="309"/>
      <c r="AJ548" s="309"/>
      <c r="AK548" s="309"/>
      <c r="AL548" s="309"/>
      <c r="AM548" s="309"/>
      <c r="AN548" s="309"/>
      <c r="AO548" s="309"/>
      <c r="AP548" s="163"/>
    </row>
    <row r="549" spans="2:42" x14ac:dyDescent="0.3">
      <c r="B549" s="6"/>
      <c r="C549" s="6"/>
      <c r="D549" s="6">
        <f t="shared" si="38"/>
        <v>13</v>
      </c>
      <c r="E549" s="544"/>
      <c r="F549" s="545"/>
      <c r="G549" s="545"/>
      <c r="H549" s="545"/>
      <c r="I549" s="545"/>
      <c r="J549" s="545"/>
      <c r="K549" s="545"/>
      <c r="L549" s="545"/>
      <c r="M549" s="545"/>
      <c r="N549" s="545"/>
      <c r="O549" s="545"/>
      <c r="P549" s="545"/>
      <c r="Q549" s="545"/>
      <c r="R549" s="545"/>
      <c r="S549" s="545"/>
      <c r="T549" s="545"/>
      <c r="U549" s="545"/>
      <c r="V549" s="545"/>
      <c r="W549" s="545"/>
      <c r="X549" s="545"/>
      <c r="Y549" s="545"/>
      <c r="Z549" s="545"/>
      <c r="AA549" s="545"/>
      <c r="AB549" s="545"/>
      <c r="AC549" s="545"/>
      <c r="AD549" s="545"/>
      <c r="AE549" s="545"/>
      <c r="AF549" s="545"/>
      <c r="AG549" s="545"/>
      <c r="AH549" s="545"/>
      <c r="AI549" s="545"/>
      <c r="AJ549" s="545"/>
      <c r="AK549" s="545"/>
      <c r="AL549" s="545"/>
      <c r="AM549" s="545"/>
      <c r="AN549" s="545"/>
      <c r="AO549" s="545"/>
      <c r="AP549" s="543"/>
    </row>
    <row r="550" spans="2:42" ht="21" x14ac:dyDescent="0.4">
      <c r="B550" s="6"/>
      <c r="C550" s="6"/>
      <c r="D550" s="6">
        <f t="shared" si="38"/>
        <v>14</v>
      </c>
      <c r="E550" s="632" t="str">
        <f>_xlfn.CONCAT(revenueSimulationID," ",$D550,"|",INDEX(StdConfigDesc,$D550,$E$29))</f>
        <v>Case 14|FTM - Load Reducer (2 MW / 8 MWh)</v>
      </c>
      <c r="F550" s="633"/>
      <c r="G550" s="633"/>
      <c r="H550" s="633"/>
      <c r="I550" s="633"/>
      <c r="J550" s="633"/>
      <c r="K550" s="633"/>
      <c r="L550" s="633"/>
      <c r="M550" s="633"/>
      <c r="N550" s="633"/>
      <c r="O550" s="633"/>
      <c r="P550" s="633"/>
      <c r="Q550" s="633"/>
      <c r="R550" s="633"/>
      <c r="S550" s="633"/>
      <c r="T550" s="633"/>
      <c r="U550" s="633"/>
      <c r="V550" s="633"/>
      <c r="W550" s="633"/>
      <c r="X550" s="633"/>
      <c r="Y550" s="633"/>
      <c r="Z550" s="633"/>
      <c r="AA550" s="633"/>
      <c r="AB550" s="633"/>
      <c r="AC550" s="633"/>
      <c r="AD550" s="633"/>
      <c r="AE550" s="633"/>
      <c r="AF550" s="633"/>
      <c r="AG550" s="633"/>
      <c r="AH550" s="633"/>
      <c r="AI550" s="633"/>
      <c r="AJ550" s="633"/>
      <c r="AK550" s="633"/>
      <c r="AL550" s="633"/>
      <c r="AM550" s="633"/>
      <c r="AN550" s="633"/>
      <c r="AO550" s="633"/>
      <c r="AP550" s="634"/>
    </row>
    <row r="551" spans="2:42" ht="25.8" x14ac:dyDescent="0.5">
      <c r="B551" s="6"/>
      <c r="C551" s="6"/>
      <c r="D551" s="6">
        <f t="shared" si="38"/>
        <v>14</v>
      </c>
      <c r="E551" s="635"/>
      <c r="F551" s="2">
        <v>2025</v>
      </c>
      <c r="G551" s="2">
        <f>F551+1</f>
        <v>2026</v>
      </c>
      <c r="H551" s="2">
        <f t="shared" ref="H551:AO551" si="39">G551+1</f>
        <v>2027</v>
      </c>
      <c r="I551" s="2">
        <f t="shared" si="39"/>
        <v>2028</v>
      </c>
      <c r="J551" s="2">
        <f t="shared" si="39"/>
        <v>2029</v>
      </c>
      <c r="K551" s="2">
        <f t="shared" si="39"/>
        <v>2030</v>
      </c>
      <c r="L551" s="2">
        <f t="shared" si="39"/>
        <v>2031</v>
      </c>
      <c r="M551" s="2">
        <f t="shared" si="39"/>
        <v>2032</v>
      </c>
      <c r="N551" s="2">
        <f t="shared" si="39"/>
        <v>2033</v>
      </c>
      <c r="O551" s="2">
        <f t="shared" si="39"/>
        <v>2034</v>
      </c>
      <c r="P551" s="2">
        <f t="shared" si="39"/>
        <v>2035</v>
      </c>
      <c r="Q551" s="2">
        <f t="shared" si="39"/>
        <v>2036</v>
      </c>
      <c r="R551" s="2">
        <f t="shared" si="39"/>
        <v>2037</v>
      </c>
      <c r="S551" s="2">
        <f t="shared" si="39"/>
        <v>2038</v>
      </c>
      <c r="T551" s="2">
        <f t="shared" si="39"/>
        <v>2039</v>
      </c>
      <c r="U551" s="2">
        <f t="shared" si="39"/>
        <v>2040</v>
      </c>
      <c r="V551" s="2">
        <f t="shared" si="39"/>
        <v>2041</v>
      </c>
      <c r="W551" s="2">
        <f t="shared" si="39"/>
        <v>2042</v>
      </c>
      <c r="X551" s="2">
        <f t="shared" si="39"/>
        <v>2043</v>
      </c>
      <c r="Y551" s="2">
        <f t="shared" si="39"/>
        <v>2044</v>
      </c>
      <c r="Z551" s="2">
        <f t="shared" si="39"/>
        <v>2045</v>
      </c>
      <c r="AA551" s="2">
        <f t="shared" si="39"/>
        <v>2046</v>
      </c>
      <c r="AB551" s="2">
        <f t="shared" si="39"/>
        <v>2047</v>
      </c>
      <c r="AC551" s="2">
        <f t="shared" si="39"/>
        <v>2048</v>
      </c>
      <c r="AD551" s="2">
        <f t="shared" si="39"/>
        <v>2049</v>
      </c>
      <c r="AE551" s="2">
        <f t="shared" si="39"/>
        <v>2050</v>
      </c>
      <c r="AF551" s="2">
        <f t="shared" si="39"/>
        <v>2051</v>
      </c>
      <c r="AG551" s="2">
        <f t="shared" si="39"/>
        <v>2052</v>
      </c>
      <c r="AH551" s="2">
        <f t="shared" si="39"/>
        <v>2053</v>
      </c>
      <c r="AI551" s="2">
        <f t="shared" si="39"/>
        <v>2054</v>
      </c>
      <c r="AJ551" s="2">
        <f t="shared" si="39"/>
        <v>2055</v>
      </c>
      <c r="AK551" s="2">
        <f t="shared" si="39"/>
        <v>2056</v>
      </c>
      <c r="AL551" s="2">
        <f t="shared" si="39"/>
        <v>2057</v>
      </c>
      <c r="AM551" s="2">
        <f t="shared" si="39"/>
        <v>2058</v>
      </c>
      <c r="AN551" s="2">
        <f t="shared" si="39"/>
        <v>2059</v>
      </c>
      <c r="AO551" s="2">
        <f t="shared" si="39"/>
        <v>2060</v>
      </c>
      <c r="AP551" s="163"/>
    </row>
    <row r="552" spans="2:42" x14ac:dyDescent="0.3">
      <c r="B552" s="6"/>
      <c r="C552" s="6"/>
      <c r="D552" s="6">
        <f t="shared" si="38"/>
        <v>14</v>
      </c>
      <c r="E552" s="636" t="str">
        <f>E512</f>
        <v>Capacity - PJM Market</v>
      </c>
      <c r="F552" s="302"/>
      <c r="G552" s="302"/>
      <c r="H552" s="302"/>
      <c r="I552" s="302">
        <v>0</v>
      </c>
      <c r="J552" s="302">
        <v>0</v>
      </c>
      <c r="K552" s="302">
        <v>0</v>
      </c>
      <c r="L552" s="302">
        <v>0</v>
      </c>
      <c r="M552" s="302">
        <v>0</v>
      </c>
      <c r="N552" s="302">
        <v>0</v>
      </c>
      <c r="O552" s="302">
        <v>0</v>
      </c>
      <c r="P552" s="302">
        <v>0</v>
      </c>
      <c r="Q552" s="302">
        <v>0</v>
      </c>
      <c r="R552" s="302">
        <v>0</v>
      </c>
      <c r="S552" s="302">
        <v>0</v>
      </c>
      <c r="T552" s="302">
        <v>0</v>
      </c>
      <c r="U552" s="302">
        <v>0</v>
      </c>
      <c r="V552" s="302">
        <v>0</v>
      </c>
      <c r="W552" s="302">
        <v>0</v>
      </c>
      <c r="X552" s="302">
        <v>0</v>
      </c>
      <c r="Y552" s="302">
        <v>0</v>
      </c>
      <c r="Z552" s="302">
        <v>0</v>
      </c>
      <c r="AA552" s="302">
        <v>0</v>
      </c>
      <c r="AB552" s="302">
        <v>0</v>
      </c>
      <c r="AC552" s="302">
        <v>0</v>
      </c>
      <c r="AD552" s="302">
        <v>0</v>
      </c>
      <c r="AE552" s="302">
        <v>0</v>
      </c>
      <c r="AF552" s="302">
        <v>0</v>
      </c>
      <c r="AG552" s="302">
        <v>0</v>
      </c>
      <c r="AH552" s="302">
        <v>0</v>
      </c>
      <c r="AI552" s="302">
        <v>0</v>
      </c>
      <c r="AJ552" s="302">
        <v>0</v>
      </c>
      <c r="AK552" s="302">
        <v>0</v>
      </c>
      <c r="AL552" s="302">
        <v>0</v>
      </c>
      <c r="AM552" s="302">
        <v>0</v>
      </c>
      <c r="AN552" s="302">
        <v>0</v>
      </c>
      <c r="AO552" s="302">
        <v>0</v>
      </c>
      <c r="AP552" s="163"/>
    </row>
    <row r="553" spans="2:42" x14ac:dyDescent="0.3">
      <c r="B553" s="6"/>
      <c r="C553" s="6"/>
      <c r="D553" s="6">
        <f t="shared" si="38"/>
        <v>14</v>
      </c>
      <c r="E553" s="636" t="str">
        <f t="shared" ref="E553:E588" si="40">E513</f>
        <v>Energy Arbitrage - PJM Market</v>
      </c>
      <c r="F553" s="303"/>
      <c r="G553" s="304"/>
      <c r="H553" s="304"/>
      <c r="I553" s="304">
        <v>0</v>
      </c>
      <c r="J553" s="304">
        <v>0</v>
      </c>
      <c r="K553" s="304">
        <v>0</v>
      </c>
      <c r="L553" s="304">
        <v>0</v>
      </c>
      <c r="M553" s="304">
        <v>0</v>
      </c>
      <c r="N553" s="304">
        <v>0</v>
      </c>
      <c r="O553" s="304">
        <v>0</v>
      </c>
      <c r="P553" s="304">
        <v>0</v>
      </c>
      <c r="Q553" s="304">
        <v>0</v>
      </c>
      <c r="R553" s="304">
        <v>0</v>
      </c>
      <c r="S553" s="304">
        <v>0</v>
      </c>
      <c r="T553" s="304">
        <v>0</v>
      </c>
      <c r="U553" s="304">
        <v>0</v>
      </c>
      <c r="V553" s="304">
        <v>0</v>
      </c>
      <c r="W553" s="304">
        <v>0</v>
      </c>
      <c r="X553" s="304">
        <v>0</v>
      </c>
      <c r="Y553" s="304">
        <v>0</v>
      </c>
      <c r="Z553" s="304">
        <v>0</v>
      </c>
      <c r="AA553" s="304">
        <v>0</v>
      </c>
      <c r="AB553" s="304">
        <v>0</v>
      </c>
      <c r="AC553" s="304"/>
      <c r="AD553" s="304"/>
      <c r="AE553" s="304"/>
      <c r="AF553" s="304"/>
      <c r="AG553" s="304"/>
      <c r="AH553" s="304"/>
      <c r="AI553" s="304"/>
      <c r="AJ553" s="304"/>
      <c r="AK553" s="304"/>
      <c r="AL553" s="304"/>
      <c r="AM553" s="304"/>
      <c r="AN553" s="304"/>
      <c r="AO553" s="304"/>
      <c r="AP553" s="163"/>
    </row>
    <row r="554" spans="2:42" x14ac:dyDescent="0.3">
      <c r="B554" s="6"/>
      <c r="C554" s="6"/>
      <c r="D554" s="6">
        <f t="shared" si="38"/>
        <v>14</v>
      </c>
      <c r="E554" s="636" t="str">
        <f t="shared" si="40"/>
        <v>Spin- PJM Market</v>
      </c>
      <c r="F554" s="303"/>
      <c r="G554" s="304"/>
      <c r="H554" s="304"/>
      <c r="I554" s="304">
        <v>19136.166514661993</v>
      </c>
      <c r="J554" s="304">
        <v>18238.941181888302</v>
      </c>
      <c r="K554" s="304">
        <v>19862.164046143767</v>
      </c>
      <c r="L554" s="304">
        <v>18391.141289303421</v>
      </c>
      <c r="M554" s="304">
        <v>16946.656405227652</v>
      </c>
      <c r="N554" s="304">
        <v>17228.988364017267</v>
      </c>
      <c r="O554" s="304">
        <v>17511.320322806881</v>
      </c>
      <c r="P554" s="304">
        <v>17793.652281596496</v>
      </c>
      <c r="Q554" s="304">
        <v>18075.984240386111</v>
      </c>
      <c r="R554" s="304">
        <v>18358.316199175726</v>
      </c>
      <c r="S554" s="304">
        <v>19137.746692910965</v>
      </c>
      <c r="T554" s="304">
        <v>19917.177186646208</v>
      </c>
      <c r="U554" s="304">
        <v>20696.607680381447</v>
      </c>
      <c r="V554" s="304">
        <v>21476.038174116689</v>
      </c>
      <c r="W554" s="304">
        <v>22255.468667851928</v>
      </c>
      <c r="X554" s="304">
        <v>22971.814730350958</v>
      </c>
      <c r="Y554" s="304">
        <v>23688.160792849987</v>
      </c>
      <c r="Z554" s="304">
        <v>24404.506855349016</v>
      </c>
      <c r="AA554" s="304">
        <v>25120.852917848046</v>
      </c>
      <c r="AB554" s="304">
        <v>25837.198980347075</v>
      </c>
      <c r="AC554" s="304"/>
      <c r="AD554" s="304"/>
      <c r="AE554" s="304"/>
      <c r="AF554" s="304"/>
      <c r="AG554" s="304"/>
      <c r="AH554" s="304"/>
      <c r="AI554" s="304"/>
      <c r="AJ554" s="304"/>
      <c r="AK554" s="304"/>
      <c r="AL554" s="304"/>
      <c r="AM554" s="304"/>
      <c r="AN554" s="304"/>
      <c r="AO554" s="304"/>
      <c r="AP554" s="163"/>
    </row>
    <row r="555" spans="2:42" x14ac:dyDescent="0.3">
      <c r="B555" s="6"/>
      <c r="C555" s="6"/>
      <c r="D555" s="6">
        <f t="shared" si="38"/>
        <v>14</v>
      </c>
      <c r="E555" s="636" t="str">
        <f t="shared" si="40"/>
        <v>Non-Spin - PJM Market</v>
      </c>
      <c r="F555" s="303"/>
      <c r="G555" s="304"/>
      <c r="H555" s="304"/>
      <c r="I555" s="304"/>
      <c r="J555" s="304"/>
      <c r="K555" s="304"/>
      <c r="L555" s="304"/>
      <c r="M555" s="304"/>
      <c r="N555" s="304"/>
      <c r="O555" s="304"/>
      <c r="P555" s="304"/>
      <c r="Q555" s="304"/>
      <c r="R555" s="304"/>
      <c r="S555" s="304"/>
      <c r="T555" s="304"/>
      <c r="U555" s="304"/>
      <c r="V555" s="304"/>
      <c r="W555" s="304"/>
      <c r="X555" s="304"/>
      <c r="Y555" s="304"/>
      <c r="Z555" s="304"/>
      <c r="AA555" s="304"/>
      <c r="AB555" s="304"/>
      <c r="AC555" s="304"/>
      <c r="AD555" s="304"/>
      <c r="AE555" s="304"/>
      <c r="AF555" s="304"/>
      <c r="AG555" s="304"/>
      <c r="AH555" s="304"/>
      <c r="AI555" s="304"/>
      <c r="AJ555" s="304"/>
      <c r="AK555" s="304"/>
      <c r="AL555" s="304"/>
      <c r="AM555" s="304"/>
      <c r="AN555" s="304"/>
      <c r="AO555" s="304"/>
      <c r="AP555" s="163"/>
    </row>
    <row r="556" spans="2:42" x14ac:dyDescent="0.3">
      <c r="B556" s="6"/>
      <c r="C556" s="6"/>
      <c r="D556" s="6">
        <f t="shared" si="38"/>
        <v>14</v>
      </c>
      <c r="E556" s="636" t="str">
        <f t="shared" si="40"/>
        <v>Regulation - PJM Market</v>
      </c>
      <c r="F556" s="303"/>
      <c r="G556" s="304"/>
      <c r="H556" s="304"/>
      <c r="I556" s="304">
        <v>159888.50420568319</v>
      </c>
      <c r="J556" s="304">
        <v>79669.477058569551</v>
      </c>
      <c r="K556" s="304">
        <v>36331.362754167771</v>
      </c>
      <c r="L556" s="304">
        <v>22572.439527047452</v>
      </c>
      <c r="M556" s="304">
        <v>14851.634595160609</v>
      </c>
      <c r="N556" s="304">
        <v>13424.126549563567</v>
      </c>
      <c r="O556" s="304">
        <v>11996.618503966531</v>
      </c>
      <c r="P556" s="304">
        <v>10569.110458369487</v>
      </c>
      <c r="Q556" s="304">
        <v>9141.6024127724486</v>
      </c>
      <c r="R556" s="304">
        <v>7714.0943671754103</v>
      </c>
      <c r="S556" s="304">
        <v>8215.7018456614587</v>
      </c>
      <c r="T556" s="304">
        <v>8717.3093241475108</v>
      </c>
      <c r="U556" s="304">
        <v>9218.9168026335647</v>
      </c>
      <c r="V556" s="304">
        <v>9720.5242811196131</v>
      </c>
      <c r="W556" s="304">
        <v>10222.131759605665</v>
      </c>
      <c r="X556" s="304">
        <v>10254.599167311644</v>
      </c>
      <c r="Y556" s="304">
        <v>10287.066575017627</v>
      </c>
      <c r="Z556" s="304">
        <v>10319.533982723606</v>
      </c>
      <c r="AA556" s="304">
        <v>10352.001390429581</v>
      </c>
      <c r="AB556" s="304">
        <v>10384.468798135564</v>
      </c>
      <c r="AC556" s="304"/>
      <c r="AD556" s="304"/>
      <c r="AE556" s="304"/>
      <c r="AF556" s="304"/>
      <c r="AG556" s="304"/>
      <c r="AH556" s="304"/>
      <c r="AI556" s="304"/>
      <c r="AJ556" s="304"/>
      <c r="AK556" s="304"/>
      <c r="AL556" s="304"/>
      <c r="AM556" s="304"/>
      <c r="AN556" s="304"/>
      <c r="AO556" s="304"/>
      <c r="AP556" s="163"/>
    </row>
    <row r="557" spans="2:42" x14ac:dyDescent="0.3">
      <c r="B557" s="6"/>
      <c r="C557" s="6"/>
      <c r="D557" s="6">
        <f t="shared" si="38"/>
        <v>14</v>
      </c>
      <c r="E557" s="636" t="str">
        <f t="shared" si="40"/>
        <v>Incurred Energy Charges</v>
      </c>
      <c r="F557" s="303"/>
      <c r="G557" s="304"/>
      <c r="H557" s="304"/>
      <c r="I557" s="304">
        <v>-157400.70638999803</v>
      </c>
      <c r="J557" s="304">
        <v>-157842.27727746274</v>
      </c>
      <c r="K557" s="304">
        <v>-148839.22573897647</v>
      </c>
      <c r="L557" s="304">
        <v>-156669.63001238034</v>
      </c>
      <c r="M557" s="304">
        <v>-157990.5437350951</v>
      </c>
      <c r="N557" s="304">
        <v>-160825.38583782071</v>
      </c>
      <c r="O557" s="304">
        <v>-163660.22794054629</v>
      </c>
      <c r="P557" s="304">
        <v>-166495.0700432719</v>
      </c>
      <c r="Q557" s="304">
        <v>-169329.91214599748</v>
      </c>
      <c r="R557" s="304">
        <v>-172164.7542487231</v>
      </c>
      <c r="S557" s="304">
        <v>-169809.09961929484</v>
      </c>
      <c r="T557" s="304">
        <v>-167453.44498986658</v>
      </c>
      <c r="U557" s="304">
        <v>-165097.79036043832</v>
      </c>
      <c r="V557" s="304">
        <v>-162742.13573101006</v>
      </c>
      <c r="W557" s="304">
        <v>-160386.4811015818</v>
      </c>
      <c r="X557" s="304">
        <v>-163592.98817037599</v>
      </c>
      <c r="Y557" s="304">
        <v>-166799.49523917018</v>
      </c>
      <c r="Z557" s="304">
        <v>-170006.00230796437</v>
      </c>
      <c r="AA557" s="304">
        <v>-173212.50937675856</v>
      </c>
      <c r="AB557" s="304">
        <v>-176419.01644555276</v>
      </c>
      <c r="AC557" s="304"/>
      <c r="AD557" s="304"/>
      <c r="AE557" s="304"/>
      <c r="AF557" s="304"/>
      <c r="AG557" s="304"/>
      <c r="AH557" s="304"/>
      <c r="AI557" s="304"/>
      <c r="AJ557" s="304"/>
      <c r="AK557" s="304"/>
      <c r="AL557" s="304"/>
      <c r="AM557" s="304"/>
      <c r="AN557" s="304"/>
      <c r="AO557" s="304"/>
      <c r="AP557" s="163"/>
    </row>
    <row r="558" spans="2:42" x14ac:dyDescent="0.3">
      <c r="B558" s="6"/>
      <c r="C558" s="6"/>
      <c r="D558" s="6">
        <f t="shared" si="38"/>
        <v>14</v>
      </c>
      <c r="E558" s="636" t="str">
        <f t="shared" si="40"/>
        <v>As Used Demand Charges</v>
      </c>
      <c r="F558" s="303"/>
      <c r="G558" s="304"/>
      <c r="H558" s="304"/>
      <c r="I558" s="304">
        <v>-27268.707387236653</v>
      </c>
      <c r="J558" s="304">
        <v>-27665.777246097136</v>
      </c>
      <c r="K558" s="304">
        <v>-25848.149337326045</v>
      </c>
      <c r="L558" s="304">
        <v>-27334.102834663849</v>
      </c>
      <c r="M558" s="304">
        <v>-29339.903116199563</v>
      </c>
      <c r="N558" s="304">
        <v>-32861.725092472967</v>
      </c>
      <c r="O558" s="304">
        <v>-36383.547068746375</v>
      </c>
      <c r="P558" s="304">
        <v>-39905.369045019776</v>
      </c>
      <c r="Q558" s="304">
        <v>-43427.191021293183</v>
      </c>
      <c r="R558" s="304">
        <v>-46949.012997566591</v>
      </c>
      <c r="S558" s="304">
        <v>-52576.459880579489</v>
      </c>
      <c r="T558" s="304">
        <v>-58203.906763592386</v>
      </c>
      <c r="U558" s="304">
        <v>-63831.35364660529</v>
      </c>
      <c r="V558" s="304">
        <v>-69458.800529618195</v>
      </c>
      <c r="W558" s="304">
        <v>-75086.247412631084</v>
      </c>
      <c r="X558" s="304">
        <v>-74902.880367021236</v>
      </c>
      <c r="Y558" s="304">
        <v>-74719.513321411388</v>
      </c>
      <c r="Z558" s="304">
        <v>-74536.146275801555</v>
      </c>
      <c r="AA558" s="304">
        <v>-74352.779230191707</v>
      </c>
      <c r="AB558" s="304">
        <v>-74169.412184581859</v>
      </c>
      <c r="AC558" s="304"/>
      <c r="AD558" s="304"/>
      <c r="AE558" s="304"/>
      <c r="AF558" s="304"/>
      <c r="AG558" s="304"/>
      <c r="AH558" s="304"/>
      <c r="AI558" s="304"/>
      <c r="AJ558" s="304"/>
      <c r="AK558" s="304"/>
      <c r="AL558" s="304"/>
      <c r="AM558" s="304"/>
      <c r="AN558" s="304"/>
      <c r="AO558" s="304"/>
      <c r="AP558" s="163"/>
    </row>
    <row r="559" spans="2:42" x14ac:dyDescent="0.3">
      <c r="B559" s="6"/>
      <c r="C559" s="6"/>
      <c r="D559" s="6">
        <f t="shared" si="38"/>
        <v>14</v>
      </c>
      <c r="E559" s="636" t="str">
        <f t="shared" si="40"/>
        <v>Contract Demand Charges  Fixed</v>
      </c>
      <c r="F559" s="303"/>
      <c r="G559" s="304"/>
      <c r="H559" s="304"/>
      <c r="I559" s="304">
        <v>0</v>
      </c>
      <c r="J559" s="304">
        <v>0</v>
      </c>
      <c r="K559" s="304">
        <v>0</v>
      </c>
      <c r="L559" s="304">
        <v>0</v>
      </c>
      <c r="M559" s="304">
        <v>0</v>
      </c>
      <c r="N559" s="304">
        <v>0</v>
      </c>
      <c r="O559" s="304">
        <v>0</v>
      </c>
      <c r="P559" s="304">
        <v>0</v>
      </c>
      <c r="Q559" s="304">
        <v>0</v>
      </c>
      <c r="R559" s="304">
        <v>0</v>
      </c>
      <c r="S559" s="304">
        <v>0</v>
      </c>
      <c r="T559" s="304">
        <v>0</v>
      </c>
      <c r="U559" s="304">
        <v>0</v>
      </c>
      <c r="V559" s="304">
        <v>0</v>
      </c>
      <c r="W559" s="304">
        <v>0</v>
      </c>
      <c r="X559" s="304">
        <v>0</v>
      </c>
      <c r="Y559" s="304">
        <v>0</v>
      </c>
      <c r="Z559" s="304">
        <v>0</v>
      </c>
      <c r="AA559" s="304">
        <v>0</v>
      </c>
      <c r="AB559" s="304">
        <v>0</v>
      </c>
      <c r="AC559" s="304"/>
      <c r="AD559" s="304"/>
      <c r="AE559" s="304"/>
      <c r="AF559" s="304"/>
      <c r="AG559" s="304"/>
      <c r="AH559" s="304"/>
      <c r="AI559" s="304"/>
      <c r="AJ559" s="304"/>
      <c r="AK559" s="304"/>
      <c r="AL559" s="304"/>
      <c r="AM559" s="304"/>
      <c r="AN559" s="304"/>
      <c r="AO559" s="304"/>
      <c r="AP559" s="163"/>
    </row>
    <row r="560" spans="2:42" x14ac:dyDescent="0.3">
      <c r="B560" s="6"/>
      <c r="C560" s="6"/>
      <c r="D560" s="6">
        <f t="shared" si="38"/>
        <v>14</v>
      </c>
      <c r="E560" s="636" t="str">
        <f t="shared" si="40"/>
        <v>Customer Charges/ Fixed Charges</v>
      </c>
      <c r="F560" s="303"/>
      <c r="G560" s="304"/>
      <c r="H560" s="304"/>
      <c r="I560" s="304">
        <v>-404.17228800000004</v>
      </c>
      <c r="J560" s="304">
        <v>-420.33917952000007</v>
      </c>
      <c r="K560" s="304">
        <v>-437.15274670080009</v>
      </c>
      <c r="L560" s="304">
        <v>-454.63885656883213</v>
      </c>
      <c r="M560" s="304">
        <v>-472.82441083158545</v>
      </c>
      <c r="N560" s="304">
        <v>-491.73738726484891</v>
      </c>
      <c r="O560" s="304">
        <v>-511.40688275544289</v>
      </c>
      <c r="P560" s="304">
        <v>-531.86315806566063</v>
      </c>
      <c r="Q560" s="304">
        <v>-553.13768438828708</v>
      </c>
      <c r="R560" s="304">
        <v>-575.26319176381855</v>
      </c>
      <c r="S560" s="304">
        <v>-598.27371943437129</v>
      </c>
      <c r="T560" s="304">
        <v>-622.20466821174614</v>
      </c>
      <c r="U560" s="304">
        <v>-647.09285494021606</v>
      </c>
      <c r="V560" s="304">
        <v>-672.97656913782475</v>
      </c>
      <c r="W560" s="304">
        <v>-699.89563190333774</v>
      </c>
      <c r="X560" s="304">
        <v>-727.89145717947133</v>
      </c>
      <c r="Y560" s="304">
        <v>-757.00711546665025</v>
      </c>
      <c r="Z560" s="304">
        <v>-787.28740008531634</v>
      </c>
      <c r="AA560" s="304">
        <v>-818.77889608872897</v>
      </c>
      <c r="AB560" s="304">
        <v>-851.53005193227818</v>
      </c>
      <c r="AC560" s="304"/>
      <c r="AD560" s="304"/>
      <c r="AE560" s="304"/>
      <c r="AF560" s="304"/>
      <c r="AG560" s="304"/>
      <c r="AH560" s="304"/>
      <c r="AI560" s="304"/>
      <c r="AJ560" s="304"/>
      <c r="AK560" s="304"/>
      <c r="AL560" s="304"/>
      <c r="AM560" s="304"/>
      <c r="AN560" s="304"/>
      <c r="AO560" s="304"/>
      <c r="AP560" s="163"/>
    </row>
    <row r="561" spans="2:42" x14ac:dyDescent="0.3">
      <c r="B561" s="6"/>
      <c r="C561" s="6"/>
      <c r="D561" s="6">
        <f t="shared" si="38"/>
        <v>14</v>
      </c>
      <c r="E561" s="637" t="str">
        <f t="shared" si="40"/>
        <v>Energy Savings</v>
      </c>
      <c r="F561" s="303"/>
      <c r="G561" s="304"/>
      <c r="H561" s="304"/>
      <c r="I561" s="304"/>
      <c r="J561" s="304"/>
      <c r="K561" s="304"/>
      <c r="L561" s="617"/>
      <c r="M561" s="617"/>
      <c r="N561" s="617"/>
      <c r="O561" s="617"/>
      <c r="P561" s="617"/>
      <c r="Q561" s="617"/>
      <c r="R561" s="617"/>
      <c r="S561" s="617"/>
      <c r="T561" s="617"/>
      <c r="U561" s="617"/>
      <c r="V561" s="617"/>
      <c r="W561" s="617"/>
      <c r="X561" s="617"/>
      <c r="Y561" s="617"/>
      <c r="Z561" s="617"/>
      <c r="AA561" s="617"/>
      <c r="AB561" s="304"/>
      <c r="AC561" s="304"/>
      <c r="AD561" s="304"/>
      <c r="AE561" s="304"/>
      <c r="AF561" s="304"/>
      <c r="AG561" s="304"/>
      <c r="AH561" s="304"/>
      <c r="AI561" s="304"/>
      <c r="AJ561" s="304"/>
      <c r="AK561" s="304"/>
      <c r="AL561" s="304"/>
      <c r="AM561" s="304"/>
      <c r="AN561" s="304"/>
      <c r="AO561" s="304"/>
      <c r="AP561" s="163"/>
    </row>
    <row r="562" spans="2:42" x14ac:dyDescent="0.3">
      <c r="B562" s="6"/>
      <c r="C562" s="6"/>
      <c r="D562" s="6">
        <f t="shared" si="38"/>
        <v>14</v>
      </c>
      <c r="E562" s="637" t="str">
        <f t="shared" si="40"/>
        <v xml:space="preserve">Demand Savings </v>
      </c>
      <c r="F562" s="303"/>
      <c r="G562" s="304"/>
      <c r="H562" s="304"/>
      <c r="I562" s="304"/>
      <c r="J562" s="304"/>
      <c r="K562" s="304"/>
      <c r="L562" s="617"/>
      <c r="M562" s="617"/>
      <c r="N562" s="617"/>
      <c r="O562" s="617"/>
      <c r="P562" s="617"/>
      <c r="Q562" s="617"/>
      <c r="R562" s="617"/>
      <c r="S562" s="617"/>
      <c r="T562" s="617"/>
      <c r="U562" s="617"/>
      <c r="V562" s="617"/>
      <c r="W562" s="617"/>
      <c r="X562" s="617"/>
      <c r="Y562" s="617"/>
      <c r="Z562" s="617"/>
      <c r="AA562" s="617"/>
      <c r="AB562" s="304"/>
      <c r="AC562" s="304"/>
      <c r="AD562" s="304"/>
      <c r="AE562" s="304"/>
      <c r="AF562" s="304"/>
      <c r="AG562" s="304"/>
      <c r="AH562" s="304"/>
      <c r="AI562" s="304"/>
      <c r="AJ562" s="304"/>
      <c r="AK562" s="304"/>
      <c r="AL562" s="304"/>
      <c r="AM562" s="304"/>
      <c r="AN562" s="304"/>
      <c r="AO562" s="304"/>
      <c r="AP562" s="163"/>
    </row>
    <row r="563" spans="2:42" x14ac:dyDescent="0.3">
      <c r="B563" s="6"/>
      <c r="C563" s="6"/>
      <c r="D563" s="6">
        <f t="shared" si="38"/>
        <v>14</v>
      </c>
      <c r="E563" s="638" t="str">
        <f t="shared" si="40"/>
        <v>Energy Generation - Export</v>
      </c>
      <c r="F563" s="303"/>
      <c r="G563" s="304"/>
      <c r="H563" s="304"/>
      <c r="I563" s="304">
        <v>202221.90401021345</v>
      </c>
      <c r="J563" s="304">
        <v>226793.54766906821</v>
      </c>
      <c r="K563" s="304">
        <v>222902.45126212586</v>
      </c>
      <c r="L563" s="617">
        <v>228948.62539481657</v>
      </c>
      <c r="M563" s="617">
        <v>245933.90312368725</v>
      </c>
      <c r="N563" s="617">
        <v>256954.80137244647</v>
      </c>
      <c r="O563" s="617">
        <v>267975.69962120568</v>
      </c>
      <c r="P563" s="617">
        <v>278996.5978699649</v>
      </c>
      <c r="Q563" s="617">
        <v>290017.49611872406</v>
      </c>
      <c r="R563" s="617">
        <v>301038.39436748327</v>
      </c>
      <c r="S563" s="617">
        <v>323911.24399221572</v>
      </c>
      <c r="T563" s="617">
        <v>346784.09361694811</v>
      </c>
      <c r="U563" s="617">
        <v>369656.94324168056</v>
      </c>
      <c r="V563" s="617">
        <v>392529.79286641302</v>
      </c>
      <c r="W563" s="617">
        <v>415402.64249114541</v>
      </c>
      <c r="X563" s="617">
        <v>432873.94070442114</v>
      </c>
      <c r="Y563" s="617">
        <v>450345.23891769687</v>
      </c>
      <c r="Z563" s="617">
        <v>467816.5371309726</v>
      </c>
      <c r="AA563" s="617">
        <v>485287.83534424828</v>
      </c>
      <c r="AB563" s="304">
        <v>502759.13355752401</v>
      </c>
      <c r="AC563" s="304"/>
      <c r="AD563" s="304"/>
      <c r="AE563" s="304"/>
      <c r="AF563" s="304"/>
      <c r="AG563" s="304"/>
      <c r="AH563" s="304"/>
      <c r="AI563" s="304"/>
      <c r="AJ563" s="304"/>
      <c r="AK563" s="304"/>
      <c r="AL563" s="304"/>
      <c r="AM563" s="304"/>
      <c r="AN563" s="304"/>
      <c r="AO563" s="304"/>
      <c r="AP563" s="163"/>
    </row>
    <row r="564" spans="2:42" x14ac:dyDescent="0.3">
      <c r="B564" s="6"/>
      <c r="C564" s="6"/>
      <c r="D564" s="6">
        <f t="shared" si="38"/>
        <v>14</v>
      </c>
      <c r="E564" s="638" t="str">
        <f t="shared" si="40"/>
        <v>Generation Capacity</v>
      </c>
      <c r="F564" s="303"/>
      <c r="G564" s="304"/>
      <c r="H564" s="304"/>
      <c r="I564" s="304">
        <v>359470.33041281207</v>
      </c>
      <c r="J564" s="304">
        <v>359923.62934424856</v>
      </c>
      <c r="K564" s="304">
        <v>287890.01648752688</v>
      </c>
      <c r="L564" s="617">
        <v>287768.96982264047</v>
      </c>
      <c r="M564" s="617">
        <v>287694.2443960596</v>
      </c>
      <c r="N564" s="617">
        <v>287703.91494224675</v>
      </c>
      <c r="O564" s="617">
        <v>287713.58548843383</v>
      </c>
      <c r="P564" s="617">
        <v>287723.25603462098</v>
      </c>
      <c r="Q564" s="617">
        <v>287732.92658080807</v>
      </c>
      <c r="R564" s="617">
        <v>287742.59712699521</v>
      </c>
      <c r="S564" s="617">
        <v>297196.12615017494</v>
      </c>
      <c r="T564" s="617">
        <v>306649.65517335461</v>
      </c>
      <c r="U564" s="617">
        <v>316103.18419653433</v>
      </c>
      <c r="V564" s="617">
        <v>325556.713219714</v>
      </c>
      <c r="W564" s="617">
        <v>335010.24224289373</v>
      </c>
      <c r="X564" s="617">
        <v>344329.22655423352</v>
      </c>
      <c r="Y564" s="617">
        <v>353648.21086557338</v>
      </c>
      <c r="Z564" s="617">
        <v>362967.19517691317</v>
      </c>
      <c r="AA564" s="617">
        <v>372286.17948825302</v>
      </c>
      <c r="AB564" s="304">
        <v>381605.16379959282</v>
      </c>
      <c r="AC564" s="304"/>
      <c r="AD564" s="304"/>
      <c r="AE564" s="304"/>
      <c r="AF564" s="304"/>
      <c r="AG564" s="304"/>
      <c r="AH564" s="304"/>
      <c r="AI564" s="304"/>
      <c r="AJ564" s="304"/>
      <c r="AK564" s="304"/>
      <c r="AL564" s="304"/>
      <c r="AM564" s="304"/>
      <c r="AN564" s="304"/>
      <c r="AO564" s="304"/>
      <c r="AP564" s="163"/>
    </row>
    <row r="565" spans="2:42" x14ac:dyDescent="0.3">
      <c r="B565" s="6"/>
      <c r="C565" s="6"/>
      <c r="D565" s="6">
        <f t="shared" si="38"/>
        <v>14</v>
      </c>
      <c r="E565" s="638" t="str">
        <f t="shared" si="40"/>
        <v>Transmission Capacity</v>
      </c>
      <c r="F565" s="303"/>
      <c r="G565" s="304"/>
      <c r="H565" s="304"/>
      <c r="I565" s="304">
        <v>122500.82970841826</v>
      </c>
      <c r="J565" s="304">
        <v>122655.30558725682</v>
      </c>
      <c r="K565" s="304">
        <v>98107.584689930489</v>
      </c>
      <c r="L565" s="617">
        <v>98066.334228828462</v>
      </c>
      <c r="M565" s="617">
        <v>98040.869187677614</v>
      </c>
      <c r="N565" s="617">
        <v>98044.164730679156</v>
      </c>
      <c r="O565" s="617">
        <v>98047.460273680714</v>
      </c>
      <c r="P565" s="617">
        <v>98050.755816682256</v>
      </c>
      <c r="Q565" s="617">
        <v>98054.051359683814</v>
      </c>
      <c r="R565" s="617">
        <v>98057.346902685356</v>
      </c>
      <c r="S565" s="617">
        <v>99755.307601007764</v>
      </c>
      <c r="T565" s="617">
        <v>101453.26829933017</v>
      </c>
      <c r="U565" s="617">
        <v>103151.22899765258</v>
      </c>
      <c r="V565" s="617">
        <v>104849.18969597499</v>
      </c>
      <c r="W565" s="617">
        <v>106547.15039429739</v>
      </c>
      <c r="X565" s="617">
        <v>109510.97387711059</v>
      </c>
      <c r="Y565" s="617">
        <v>112474.79735992377</v>
      </c>
      <c r="Z565" s="617">
        <v>115438.62084273697</v>
      </c>
      <c r="AA565" s="617">
        <v>118402.44432555015</v>
      </c>
      <c r="AB565" s="304">
        <v>121366.26780836335</v>
      </c>
      <c r="AC565" s="304"/>
      <c r="AD565" s="304"/>
      <c r="AE565" s="304"/>
      <c r="AF565" s="304"/>
      <c r="AG565" s="304"/>
      <c r="AH565" s="304"/>
      <c r="AI565" s="304"/>
      <c r="AJ565" s="304"/>
      <c r="AK565" s="304"/>
      <c r="AL565" s="304"/>
      <c r="AM565" s="304"/>
      <c r="AN565" s="304"/>
      <c r="AO565" s="304"/>
      <c r="AP565" s="163"/>
    </row>
    <row r="566" spans="2:42" x14ac:dyDescent="0.3">
      <c r="B566" s="6"/>
      <c r="C566" s="6"/>
      <c r="D566" s="6">
        <f t="shared" si="38"/>
        <v>14</v>
      </c>
      <c r="E566" s="638" t="str">
        <f t="shared" si="40"/>
        <v>Distribution Capacity</v>
      </c>
      <c r="F566" s="303"/>
      <c r="G566" s="304"/>
      <c r="H566" s="304"/>
      <c r="I566" s="304">
        <v>27571.49333236611</v>
      </c>
      <c r="J566" s="304">
        <v>28384.264046802295</v>
      </c>
      <c r="K566" s="304">
        <v>25686.652447505508</v>
      </c>
      <c r="L566" s="617">
        <v>25682.790257950823</v>
      </c>
      <c r="M566" s="617">
        <v>24793.624315837271</v>
      </c>
      <c r="N566" s="617">
        <v>24908.028298368674</v>
      </c>
      <c r="O566" s="617">
        <v>25022.432280900073</v>
      </c>
      <c r="P566" s="617">
        <v>25136.836263431476</v>
      </c>
      <c r="Q566" s="617">
        <v>25251.240245962876</v>
      </c>
      <c r="R566" s="617">
        <v>25365.644228494279</v>
      </c>
      <c r="S566" s="617">
        <v>25775.392686263593</v>
      </c>
      <c r="T566" s="617">
        <v>26185.14114403291</v>
      </c>
      <c r="U566" s="617">
        <v>26594.889601802224</v>
      </c>
      <c r="V566" s="617">
        <v>27004.638059571542</v>
      </c>
      <c r="W566" s="617">
        <v>27414.386517340856</v>
      </c>
      <c r="X566" s="617">
        <v>27713.992971253429</v>
      </c>
      <c r="Y566" s="617">
        <v>28013.599425166005</v>
      </c>
      <c r="Z566" s="617">
        <v>28313.205879078578</v>
      </c>
      <c r="AA566" s="617">
        <v>28612.812332991154</v>
      </c>
      <c r="AB566" s="304">
        <v>28912.418786903727</v>
      </c>
      <c r="AC566" s="304"/>
      <c r="AD566" s="304"/>
      <c r="AE566" s="304"/>
      <c r="AF566" s="304"/>
      <c r="AG566" s="304"/>
      <c r="AH566" s="304"/>
      <c r="AI566" s="304"/>
      <c r="AJ566" s="304"/>
      <c r="AK566" s="304"/>
      <c r="AL566" s="304"/>
      <c r="AM566" s="304"/>
      <c r="AN566" s="304"/>
      <c r="AO566" s="304"/>
      <c r="AP566" s="163"/>
    </row>
    <row r="567" spans="2:42" x14ac:dyDescent="0.3">
      <c r="B567" s="6"/>
      <c r="C567" s="6"/>
      <c r="D567" s="6">
        <f t="shared" si="38"/>
        <v>14</v>
      </c>
      <c r="E567" s="638" t="str">
        <f t="shared" si="40"/>
        <v>GHG Impacts</v>
      </c>
      <c r="F567" s="303"/>
      <c r="G567" s="304"/>
      <c r="H567" s="304"/>
      <c r="I567" s="304">
        <v>205602.61780314939</v>
      </c>
      <c r="J567" s="304">
        <v>169063.15490080649</v>
      </c>
      <c r="K567" s="304">
        <v>60235.759916559618</v>
      </c>
      <c r="L567" s="617">
        <v>75556.64247906793</v>
      </c>
      <c r="M567" s="617">
        <v>93639.625367566419</v>
      </c>
      <c r="N567" s="617">
        <v>112954.40323951263</v>
      </c>
      <c r="O567" s="617">
        <v>132269.18111145883</v>
      </c>
      <c r="P567" s="617">
        <v>151583.95898340503</v>
      </c>
      <c r="Q567" s="617">
        <v>170898.73685535125</v>
      </c>
      <c r="R567" s="617">
        <v>190213.51472729744</v>
      </c>
      <c r="S567" s="617">
        <v>218054.7924521442</v>
      </c>
      <c r="T567" s="617">
        <v>245896.07017699096</v>
      </c>
      <c r="U567" s="617">
        <v>273737.34790183773</v>
      </c>
      <c r="V567" s="617">
        <v>301578.62562668452</v>
      </c>
      <c r="W567" s="617">
        <v>329419.90335153125</v>
      </c>
      <c r="X567" s="617">
        <v>358105.40864602017</v>
      </c>
      <c r="Y567" s="617">
        <v>386790.91394050908</v>
      </c>
      <c r="Z567" s="617">
        <v>415476.419234998</v>
      </c>
      <c r="AA567" s="617">
        <v>444161.92452948692</v>
      </c>
      <c r="AB567" s="304">
        <v>472847.42982397584</v>
      </c>
      <c r="AC567" s="304"/>
      <c r="AD567" s="304"/>
      <c r="AE567" s="304"/>
      <c r="AF567" s="304"/>
      <c r="AG567" s="304"/>
      <c r="AH567" s="304"/>
      <c r="AI567" s="304"/>
      <c r="AJ567" s="304"/>
      <c r="AK567" s="304"/>
      <c r="AL567" s="304"/>
      <c r="AM567" s="304"/>
      <c r="AN567" s="304"/>
      <c r="AO567" s="304"/>
      <c r="AP567" s="163"/>
    </row>
    <row r="568" spans="2:42" x14ac:dyDescent="0.3">
      <c r="B568" s="6"/>
      <c r="C568" s="6"/>
      <c r="D568" s="6">
        <f t="shared" si="38"/>
        <v>14</v>
      </c>
      <c r="E568" s="638" t="str">
        <f t="shared" si="40"/>
        <v>Market Price Effects - Wholesale Energy</v>
      </c>
      <c r="F568" s="303"/>
      <c r="G568" s="304"/>
      <c r="H568" s="304"/>
      <c r="I568" s="304">
        <v>11609.715794073034</v>
      </c>
      <c r="J568" s="304">
        <v>26443.652046507967</v>
      </c>
      <c r="K568" s="304">
        <v>41076.10231466165</v>
      </c>
      <c r="L568" s="617">
        <v>40723.38107840289</v>
      </c>
      <c r="M568" s="617">
        <v>58545.16052485392</v>
      </c>
      <c r="N568" s="617">
        <v>53726.366049981072</v>
      </c>
      <c r="O568" s="617">
        <v>48907.571575108217</v>
      </c>
      <c r="P568" s="617">
        <v>44088.777100235369</v>
      </c>
      <c r="Q568" s="617">
        <v>39269.982625362522</v>
      </c>
      <c r="R568" s="617">
        <v>34451.188150489666</v>
      </c>
      <c r="S568" s="617">
        <v>41758.045070568027</v>
      </c>
      <c r="T568" s="617">
        <v>49064.901990646387</v>
      </c>
      <c r="U568" s="617">
        <v>56371.758910724748</v>
      </c>
      <c r="V568" s="617">
        <v>63678.615830803108</v>
      </c>
      <c r="W568" s="617">
        <v>70985.472750881469</v>
      </c>
      <c r="X568" s="617">
        <v>75409.678088812667</v>
      </c>
      <c r="Y568" s="617">
        <v>79833.883426743865</v>
      </c>
      <c r="Z568" s="617">
        <v>84258.088764675078</v>
      </c>
      <c r="AA568" s="617">
        <v>88682.294102606276</v>
      </c>
      <c r="AB568" s="304">
        <v>93106.499440537475</v>
      </c>
      <c r="AC568" s="304"/>
      <c r="AD568" s="304"/>
      <c r="AE568" s="304"/>
      <c r="AF568" s="304"/>
      <c r="AG568" s="304"/>
      <c r="AH568" s="304"/>
      <c r="AI568" s="304"/>
      <c r="AJ568" s="304"/>
      <c r="AK568" s="304"/>
      <c r="AL568" s="304"/>
      <c r="AM568" s="304"/>
      <c r="AN568" s="304"/>
      <c r="AO568" s="304"/>
      <c r="AP568" s="163"/>
    </row>
    <row r="569" spans="2:42" x14ac:dyDescent="0.3">
      <c r="B569" s="6"/>
      <c r="C569" s="6"/>
      <c r="D569" s="6">
        <f t="shared" si="38"/>
        <v>14</v>
      </c>
      <c r="E569" s="638" t="str">
        <f t="shared" si="40"/>
        <v>Market Price Effects - Wholesale Capacity</v>
      </c>
      <c r="F569" s="303"/>
      <c r="G569" s="304"/>
      <c r="H569" s="304"/>
      <c r="I569" s="304">
        <v>0</v>
      </c>
      <c r="J569" s="304">
        <v>0</v>
      </c>
      <c r="K569" s="304">
        <v>0</v>
      </c>
      <c r="L569" s="617">
        <v>0</v>
      </c>
      <c r="M569" s="617">
        <v>0</v>
      </c>
      <c r="N569" s="617">
        <v>0</v>
      </c>
      <c r="O569" s="617">
        <v>0</v>
      </c>
      <c r="P569" s="617">
        <v>0</v>
      </c>
      <c r="Q569" s="617">
        <v>0</v>
      </c>
      <c r="R569" s="617">
        <v>0</v>
      </c>
      <c r="S569" s="617">
        <v>0</v>
      </c>
      <c r="T569" s="617">
        <v>0</v>
      </c>
      <c r="U569" s="617">
        <v>0</v>
      </c>
      <c r="V569" s="617">
        <v>0</v>
      </c>
      <c r="W569" s="617">
        <v>0</v>
      </c>
      <c r="X569" s="617">
        <v>0</v>
      </c>
      <c r="Y569" s="617">
        <v>0</v>
      </c>
      <c r="Z569" s="617">
        <v>0</v>
      </c>
      <c r="AA569" s="617">
        <v>0</v>
      </c>
      <c r="AB569" s="304">
        <v>0</v>
      </c>
      <c r="AC569" s="304"/>
      <c r="AD569" s="304"/>
      <c r="AE569" s="304"/>
      <c r="AF569" s="304"/>
      <c r="AG569" s="304"/>
      <c r="AH569" s="304"/>
      <c r="AI569" s="304"/>
      <c r="AJ569" s="304"/>
      <c r="AK569" s="304"/>
      <c r="AL569" s="304"/>
      <c r="AM569" s="304"/>
      <c r="AN569" s="304"/>
      <c r="AO569" s="304"/>
      <c r="AP569" s="163"/>
    </row>
    <row r="570" spans="2:42" x14ac:dyDescent="0.3">
      <c r="B570" s="6"/>
      <c r="C570" s="6"/>
      <c r="D570" s="6">
        <f t="shared" si="38"/>
        <v>14</v>
      </c>
      <c r="E570" s="639" t="str">
        <f t="shared" si="40"/>
        <v>Avoided Cost of Participant Backup Generator</v>
      </c>
      <c r="F570" s="303"/>
      <c r="G570" s="303"/>
      <c r="H570" s="303"/>
      <c r="I570" s="303">
        <v>0</v>
      </c>
      <c r="J570" s="303">
        <v>0</v>
      </c>
      <c r="K570" s="303">
        <v>0</v>
      </c>
      <c r="L570" s="303">
        <v>0</v>
      </c>
      <c r="M570" s="303">
        <v>0</v>
      </c>
      <c r="N570" s="303">
        <v>0</v>
      </c>
      <c r="O570" s="303">
        <v>0</v>
      </c>
      <c r="P570" s="303">
        <v>0</v>
      </c>
      <c r="Q570" s="303">
        <v>0</v>
      </c>
      <c r="R570" s="303">
        <v>0</v>
      </c>
      <c r="S570" s="303">
        <v>0</v>
      </c>
      <c r="T570" s="303">
        <v>0</v>
      </c>
      <c r="U570" s="303">
        <v>0</v>
      </c>
      <c r="V570" s="303">
        <v>0</v>
      </c>
      <c r="W570" s="303">
        <v>0</v>
      </c>
      <c r="X570" s="303">
        <v>0</v>
      </c>
      <c r="Y570" s="303">
        <v>0</v>
      </c>
      <c r="Z570" s="303">
        <v>0</v>
      </c>
      <c r="AA570" s="303">
        <v>0</v>
      </c>
      <c r="AB570" s="303">
        <v>0</v>
      </c>
      <c r="AC570" s="303"/>
      <c r="AD570" s="303"/>
      <c r="AE570" s="303"/>
      <c r="AF570" s="303"/>
      <c r="AG570" s="303"/>
      <c r="AH570" s="303"/>
      <c r="AI570" s="303"/>
      <c r="AJ570" s="303"/>
      <c r="AK570" s="303"/>
      <c r="AL570" s="303"/>
      <c r="AM570" s="303"/>
      <c r="AN570" s="303"/>
      <c r="AO570" s="303"/>
      <c r="AP570" s="163"/>
    </row>
    <row r="571" spans="2:42" x14ac:dyDescent="0.3">
      <c r="B571" s="6"/>
      <c r="C571" s="6"/>
      <c r="D571" s="6">
        <f t="shared" si="38"/>
        <v>14</v>
      </c>
      <c r="E571" s="640" t="str">
        <f t="shared" si="40"/>
        <v>Full Eq DoD Cycle</v>
      </c>
      <c r="F571" s="303"/>
      <c r="G571" s="303"/>
      <c r="H571" s="310"/>
      <c r="I571" s="308">
        <v>365</v>
      </c>
      <c r="J571" s="308">
        <v>365</v>
      </c>
      <c r="K571" s="308">
        <v>345.26472914575311</v>
      </c>
      <c r="L571" s="618">
        <v>347.9973747802685</v>
      </c>
      <c r="M571" s="618">
        <v>356.47251058876361</v>
      </c>
      <c r="N571" s="618">
        <v>358.17800847101091</v>
      </c>
      <c r="O571" s="618">
        <v>359.88350635325816</v>
      </c>
      <c r="P571" s="618">
        <v>361.58900423550546</v>
      </c>
      <c r="Q571" s="618">
        <v>363.2945021177527</v>
      </c>
      <c r="R571" s="618">
        <v>365</v>
      </c>
      <c r="S571" s="618">
        <v>365</v>
      </c>
      <c r="T571" s="618">
        <v>365</v>
      </c>
      <c r="U571" s="618">
        <v>365</v>
      </c>
      <c r="V571" s="618">
        <v>365</v>
      </c>
      <c r="W571" s="618">
        <v>365</v>
      </c>
      <c r="X571" s="618">
        <v>365</v>
      </c>
      <c r="Y571" s="618">
        <v>365</v>
      </c>
      <c r="Z571" s="618">
        <v>365</v>
      </c>
      <c r="AA571" s="618">
        <v>365</v>
      </c>
      <c r="AB571" s="308">
        <v>365</v>
      </c>
      <c r="AC571" s="309"/>
      <c r="AD571" s="309"/>
      <c r="AE571" s="309"/>
      <c r="AF571" s="309"/>
      <c r="AG571" s="309"/>
      <c r="AH571" s="309"/>
      <c r="AI571" s="309"/>
      <c r="AJ571" s="309"/>
      <c r="AK571" s="309"/>
      <c r="AL571" s="309"/>
      <c r="AM571" s="309"/>
      <c r="AN571" s="309"/>
      <c r="AO571" s="309"/>
      <c r="AP571" s="163"/>
    </row>
    <row r="572" spans="2:42" x14ac:dyDescent="0.3">
      <c r="B572" s="6"/>
      <c r="C572" s="6"/>
      <c r="D572" s="6">
        <f t="shared" si="38"/>
        <v>14</v>
      </c>
      <c r="E572" s="640" t="str">
        <f t="shared" si="40"/>
        <v>Export MWh</v>
      </c>
      <c r="F572" s="303"/>
      <c r="G572" s="303"/>
      <c r="H572" s="310"/>
      <c r="I572" s="308"/>
      <c r="J572" s="308"/>
      <c r="K572" s="308"/>
      <c r="L572" s="618"/>
      <c r="M572" s="618"/>
      <c r="N572" s="618"/>
      <c r="O572" s="618"/>
      <c r="P572" s="618"/>
      <c r="Q572" s="618"/>
      <c r="R572" s="618"/>
      <c r="S572" s="618"/>
      <c r="T572" s="618"/>
      <c r="U572" s="618"/>
      <c r="V572" s="618"/>
      <c r="W572" s="618"/>
      <c r="X572" s="618"/>
      <c r="Y572" s="618"/>
      <c r="Z572" s="618"/>
      <c r="AA572" s="618"/>
      <c r="AB572" s="308"/>
      <c r="AC572" s="309"/>
      <c r="AD572" s="309"/>
      <c r="AE572" s="309"/>
      <c r="AF572" s="309"/>
      <c r="AG572" s="309"/>
      <c r="AH572" s="309"/>
      <c r="AI572" s="309"/>
      <c r="AJ572" s="309"/>
      <c r="AK572" s="309"/>
      <c r="AL572" s="309"/>
      <c r="AM572" s="309"/>
      <c r="AN572" s="309"/>
      <c r="AO572" s="309"/>
      <c r="AP572" s="163"/>
    </row>
    <row r="573" spans="2:42" x14ac:dyDescent="0.3">
      <c r="B573" s="6"/>
      <c r="C573" s="6"/>
      <c r="D573" s="6">
        <f t="shared" si="38"/>
        <v>14</v>
      </c>
      <c r="E573" s="640" t="str">
        <f t="shared" si="40"/>
        <v>Charge MWh</v>
      </c>
      <c r="F573" s="303"/>
      <c r="G573" s="303"/>
      <c r="H573" s="310"/>
      <c r="I573" s="311"/>
      <c r="J573" s="311"/>
      <c r="K573" s="311"/>
      <c r="L573" s="619"/>
      <c r="M573" s="619"/>
      <c r="N573" s="619"/>
      <c r="O573" s="619"/>
      <c r="P573" s="619"/>
      <c r="Q573" s="619"/>
      <c r="R573" s="619"/>
      <c r="S573" s="619"/>
      <c r="T573" s="619"/>
      <c r="U573" s="619"/>
      <c r="V573" s="619"/>
      <c r="W573" s="619"/>
      <c r="X573" s="619"/>
      <c r="Y573" s="619"/>
      <c r="Z573" s="619"/>
      <c r="AA573" s="619"/>
      <c r="AB573" s="311"/>
      <c r="AC573" s="313"/>
      <c r="AD573" s="313"/>
      <c r="AE573" s="313"/>
      <c r="AF573" s="313"/>
      <c r="AG573" s="313"/>
      <c r="AH573" s="313"/>
      <c r="AI573" s="313"/>
      <c r="AJ573" s="313"/>
      <c r="AK573" s="313"/>
      <c r="AL573" s="313"/>
      <c r="AM573" s="313"/>
      <c r="AN573" s="313"/>
      <c r="AO573" s="313"/>
      <c r="AP573" s="163"/>
    </row>
    <row r="574" spans="2:42" x14ac:dyDescent="0.3">
      <c r="B574" s="6"/>
      <c r="C574" s="6"/>
      <c r="D574" s="6">
        <f t="shared" si="38"/>
        <v>14</v>
      </c>
      <c r="E574" s="641" t="str">
        <f t="shared" si="40"/>
        <v>Total ESS Charge MWh</v>
      </c>
      <c r="F574" s="303"/>
      <c r="G574" s="303"/>
      <c r="H574" s="310"/>
      <c r="I574" s="308">
        <v>3435.2941177978769</v>
      </c>
      <c r="J574" s="308">
        <v>3435.2941151497748</v>
      </c>
      <c r="K574" s="308">
        <v>3249.5503910333796</v>
      </c>
      <c r="L574" s="618">
        <v>3275.2694083525039</v>
      </c>
      <c r="M574" s="618">
        <v>3355.0353951589532</v>
      </c>
      <c r="N574" s="618">
        <v>3371.0871394955834</v>
      </c>
      <c r="O574" s="618">
        <v>3387.1388838322137</v>
      </c>
      <c r="P574" s="618">
        <v>3403.1906281688443</v>
      </c>
      <c r="Q574" s="618">
        <v>3419.2423725054746</v>
      </c>
      <c r="R574" s="618">
        <v>3435.2941168421048</v>
      </c>
      <c r="S574" s="618">
        <v>3435.2941167887516</v>
      </c>
      <c r="T574" s="618">
        <v>3435.2941167353983</v>
      </c>
      <c r="U574" s="618">
        <v>3435.2941166820451</v>
      </c>
      <c r="V574" s="618">
        <v>3435.2941166286919</v>
      </c>
      <c r="W574" s="618">
        <v>3435.2941165753386</v>
      </c>
      <c r="X574" s="618">
        <v>3435.294090685928</v>
      </c>
      <c r="Y574" s="618">
        <v>3435.2940647965179</v>
      </c>
      <c r="Z574" s="618">
        <v>3435.2940389071073</v>
      </c>
      <c r="AA574" s="618">
        <v>3435.2940130176971</v>
      </c>
      <c r="AB574" s="308">
        <v>3435.2939871282865</v>
      </c>
      <c r="AC574" s="309"/>
      <c r="AD574" s="309"/>
      <c r="AE574" s="309"/>
      <c r="AF574" s="309"/>
      <c r="AG574" s="309"/>
      <c r="AH574" s="309"/>
      <c r="AI574" s="309"/>
      <c r="AJ574" s="309"/>
      <c r="AK574" s="309"/>
      <c r="AL574" s="309"/>
      <c r="AM574" s="309"/>
      <c r="AN574" s="309"/>
      <c r="AO574" s="309"/>
      <c r="AP574" s="163"/>
    </row>
    <row r="575" spans="2:42" x14ac:dyDescent="0.3">
      <c r="B575" s="6"/>
      <c r="C575" s="6"/>
      <c r="D575" s="6">
        <f t="shared" si="38"/>
        <v>14</v>
      </c>
      <c r="E575" s="642" t="str">
        <f t="shared" si="40"/>
        <v>Avg Generation Capacity</v>
      </c>
      <c r="F575" s="303"/>
      <c r="G575" s="303"/>
      <c r="H575" s="310"/>
      <c r="I575" s="308">
        <v>0</v>
      </c>
      <c r="J575" s="308">
        <v>0</v>
      </c>
      <c r="K575" s="308">
        <v>0</v>
      </c>
      <c r="L575" s="308">
        <v>0</v>
      </c>
      <c r="M575" s="308">
        <v>0</v>
      </c>
      <c r="N575" s="308">
        <v>0</v>
      </c>
      <c r="O575" s="308">
        <v>0</v>
      </c>
      <c r="P575" s="308">
        <v>0</v>
      </c>
      <c r="Q575" s="308">
        <v>0</v>
      </c>
      <c r="R575" s="308">
        <v>0</v>
      </c>
      <c r="S575" s="308">
        <v>0</v>
      </c>
      <c r="T575" s="308">
        <v>0</v>
      </c>
      <c r="U575" s="308">
        <v>0</v>
      </c>
      <c r="V575" s="308">
        <v>0</v>
      </c>
      <c r="W575" s="308">
        <v>0</v>
      </c>
      <c r="X575" s="308">
        <v>0</v>
      </c>
      <c r="Y575" s="308">
        <v>0</v>
      </c>
      <c r="Z575" s="308">
        <v>0</v>
      </c>
      <c r="AA575" s="308">
        <v>0</v>
      </c>
      <c r="AB575" s="308">
        <v>0</v>
      </c>
      <c r="AC575" s="309"/>
      <c r="AD575" s="309"/>
      <c r="AE575" s="309"/>
      <c r="AF575" s="309"/>
      <c r="AG575" s="309"/>
      <c r="AH575" s="309"/>
      <c r="AI575" s="309"/>
      <c r="AJ575" s="309"/>
      <c r="AK575" s="309"/>
      <c r="AL575" s="309"/>
      <c r="AM575" s="309"/>
      <c r="AN575" s="309"/>
      <c r="AO575" s="309"/>
      <c r="AP575" s="163"/>
    </row>
    <row r="576" spans="2:42" x14ac:dyDescent="0.3">
      <c r="B576" s="6"/>
      <c r="C576" s="6"/>
      <c r="D576" s="6">
        <f t="shared" si="38"/>
        <v>14</v>
      </c>
      <c r="E576" s="642" t="str">
        <f t="shared" si="40"/>
        <v>Avg Transmission Capacity</v>
      </c>
      <c r="F576" s="303"/>
      <c r="G576" s="303"/>
      <c r="H576" s="310"/>
      <c r="I576" s="308">
        <v>0</v>
      </c>
      <c r="J576" s="308">
        <v>0</v>
      </c>
      <c r="K576" s="308">
        <v>0</v>
      </c>
      <c r="L576" s="308">
        <v>0</v>
      </c>
      <c r="M576" s="308">
        <v>0</v>
      </c>
      <c r="N576" s="308">
        <v>0</v>
      </c>
      <c r="O576" s="308">
        <v>0</v>
      </c>
      <c r="P576" s="308">
        <v>0</v>
      </c>
      <c r="Q576" s="308">
        <v>0</v>
      </c>
      <c r="R576" s="308">
        <v>0</v>
      </c>
      <c r="S576" s="308">
        <v>0</v>
      </c>
      <c r="T576" s="308">
        <v>0</v>
      </c>
      <c r="U576" s="308">
        <v>0</v>
      </c>
      <c r="V576" s="308">
        <v>0</v>
      </c>
      <c r="W576" s="308">
        <v>0</v>
      </c>
      <c r="X576" s="308">
        <v>0</v>
      </c>
      <c r="Y576" s="308">
        <v>0</v>
      </c>
      <c r="Z576" s="308">
        <v>0</v>
      </c>
      <c r="AA576" s="308">
        <v>0</v>
      </c>
      <c r="AB576" s="308">
        <v>0</v>
      </c>
      <c r="AC576" s="309"/>
      <c r="AD576" s="309"/>
      <c r="AE576" s="309"/>
      <c r="AF576" s="309"/>
      <c r="AG576" s="309"/>
      <c r="AH576" s="309"/>
      <c r="AI576" s="309"/>
      <c r="AJ576" s="309"/>
      <c r="AK576" s="309"/>
      <c r="AL576" s="309"/>
      <c r="AM576" s="309"/>
      <c r="AN576" s="309"/>
      <c r="AO576" s="309"/>
      <c r="AP576" s="163"/>
    </row>
    <row r="577" spans="2:42" x14ac:dyDescent="0.3">
      <c r="B577" s="6"/>
      <c r="C577" s="6"/>
      <c r="D577" s="6">
        <f t="shared" si="38"/>
        <v>14</v>
      </c>
      <c r="E577" s="642" t="str">
        <f t="shared" si="40"/>
        <v>Avg Distribution Capacity</v>
      </c>
      <c r="F577" s="303"/>
      <c r="G577" s="303"/>
      <c r="H577" s="310"/>
      <c r="I577" s="308">
        <v>1.2500000000000001E-2</v>
      </c>
      <c r="J577" s="308">
        <v>0</v>
      </c>
      <c r="K577" s="308">
        <v>1.7647058823529404E-3</v>
      </c>
      <c r="L577" s="618">
        <v>8.6772183127462477E-4</v>
      </c>
      <c r="M577" s="618">
        <v>0</v>
      </c>
      <c r="N577" s="618">
        <v>5.3689586065273833E-4</v>
      </c>
      <c r="O577" s="618">
        <v>1.0737917213054767E-3</v>
      </c>
      <c r="P577" s="618">
        <v>1.6106875819582151E-3</v>
      </c>
      <c r="Q577" s="618">
        <v>2.1475834426109533E-3</v>
      </c>
      <c r="R577" s="618">
        <v>2.6844793032636915E-3</v>
      </c>
      <c r="S577" s="618">
        <v>6.2574917374409612E-3</v>
      </c>
      <c r="T577" s="618">
        <v>9.8305041716182304E-3</v>
      </c>
      <c r="U577" s="618">
        <v>1.3403516605795498E-2</v>
      </c>
      <c r="V577" s="618">
        <v>1.4147107533310639E-2</v>
      </c>
      <c r="W577" s="618">
        <v>1.7124617895125031E-2</v>
      </c>
      <c r="X577" s="618">
        <v>1.7116360982766692E-2</v>
      </c>
      <c r="Y577" s="618">
        <v>1.7108104070408352E-2</v>
      </c>
      <c r="Z577" s="618">
        <v>1.7099847158050012E-2</v>
      </c>
      <c r="AA577" s="618">
        <v>1.7091590245691672E-2</v>
      </c>
      <c r="AB577" s="308">
        <v>1.7083333333333332E-2</v>
      </c>
      <c r="AC577" s="309"/>
      <c r="AD577" s="309"/>
      <c r="AE577" s="309"/>
      <c r="AF577" s="309"/>
      <c r="AG577" s="309"/>
      <c r="AH577" s="309"/>
      <c r="AI577" s="309"/>
      <c r="AJ577" s="309"/>
      <c r="AK577" s="309"/>
      <c r="AL577" s="309"/>
      <c r="AM577" s="309"/>
      <c r="AN577" s="309"/>
      <c r="AO577" s="309"/>
      <c r="AP577" s="163"/>
    </row>
    <row r="578" spans="2:42" x14ac:dyDescent="0.3">
      <c r="B578" s="6"/>
      <c r="C578" s="6"/>
      <c r="D578" s="6">
        <f t="shared" si="38"/>
        <v>14</v>
      </c>
      <c r="E578" s="642" t="str">
        <f t="shared" si="40"/>
        <v>GHG Impacts</v>
      </c>
      <c r="F578" s="303"/>
      <c r="G578" s="303"/>
      <c r="H578" s="310"/>
      <c r="I578" s="308">
        <v>3433.3451666414776</v>
      </c>
      <c r="J578" s="308">
        <v>3420.8341151497743</v>
      </c>
      <c r="K578" s="308">
        <v>3211.3693495250636</v>
      </c>
      <c r="L578" s="618">
        <v>3169.5010598277504</v>
      </c>
      <c r="M578" s="618">
        <v>3106.6075983688879</v>
      </c>
      <c r="N578" s="618">
        <v>2925.6993470444968</v>
      </c>
      <c r="O578" s="618">
        <v>2744.7910957201057</v>
      </c>
      <c r="P578" s="618">
        <v>2563.8828443957145</v>
      </c>
      <c r="Q578" s="618">
        <v>2382.9745930713229</v>
      </c>
      <c r="R578" s="618">
        <v>2202.0663417469318</v>
      </c>
      <c r="S578" s="618">
        <v>2038.9566916672391</v>
      </c>
      <c r="T578" s="618">
        <v>1875.8470415875463</v>
      </c>
      <c r="U578" s="618">
        <v>1712.7373915078533</v>
      </c>
      <c r="V578" s="618">
        <v>1549.6277414281606</v>
      </c>
      <c r="W578" s="618">
        <v>1386.5180913484678</v>
      </c>
      <c r="X578" s="618">
        <v>1268.9768606603348</v>
      </c>
      <c r="Y578" s="618">
        <v>1151.4356299722015</v>
      </c>
      <c r="Z578" s="618">
        <v>1033.8943992840684</v>
      </c>
      <c r="AA578" s="618">
        <v>916.35316859593524</v>
      </c>
      <c r="AB578" s="308">
        <v>798.81193790780208</v>
      </c>
      <c r="AC578" s="309"/>
      <c r="AD578" s="309"/>
      <c r="AE578" s="309"/>
      <c r="AF578" s="309"/>
      <c r="AG578" s="309"/>
      <c r="AH578" s="309"/>
      <c r="AI578" s="309"/>
      <c r="AJ578" s="309"/>
      <c r="AK578" s="309"/>
      <c r="AL578" s="309"/>
      <c r="AM578" s="309"/>
      <c r="AN578" s="309"/>
      <c r="AO578" s="309"/>
      <c r="AP578" s="163"/>
    </row>
    <row r="579" spans="2:42" x14ac:dyDescent="0.3">
      <c r="B579" s="6"/>
      <c r="C579" s="6"/>
      <c r="D579" s="6">
        <f t="shared" si="38"/>
        <v>14</v>
      </c>
      <c r="E579" s="642" t="str">
        <f t="shared" si="40"/>
        <v>Market Price Effects - Wholesale Energy</v>
      </c>
      <c r="F579" s="303"/>
      <c r="G579" s="303"/>
      <c r="H579" s="310"/>
      <c r="I579" s="308">
        <v>3435.2941177978778</v>
      </c>
      <c r="J579" s="308">
        <v>3435.2941151497744</v>
      </c>
      <c r="K579" s="308">
        <v>3249.550391033375</v>
      </c>
      <c r="L579" s="618">
        <v>3275.2694083525171</v>
      </c>
      <c r="M579" s="618">
        <v>3355.0353951589491</v>
      </c>
      <c r="N579" s="618">
        <v>3371.0871394955821</v>
      </c>
      <c r="O579" s="618">
        <v>3387.1388838322155</v>
      </c>
      <c r="P579" s="618">
        <v>3403.1906281688484</v>
      </c>
      <c r="Q579" s="618">
        <v>3419.2423725054819</v>
      </c>
      <c r="R579" s="618">
        <v>3435.2941168421148</v>
      </c>
      <c r="S579" s="618">
        <v>3435.294116788762</v>
      </c>
      <c r="T579" s="618">
        <v>3435.2941167354093</v>
      </c>
      <c r="U579" s="618">
        <v>3435.294116682056</v>
      </c>
      <c r="V579" s="618">
        <v>3435.2941166287033</v>
      </c>
      <c r="W579" s="618">
        <v>3435.2941165753505</v>
      </c>
      <c r="X579" s="618">
        <v>3435.2940906859394</v>
      </c>
      <c r="Y579" s="618">
        <v>3435.2940647965283</v>
      </c>
      <c r="Z579" s="618">
        <v>3435.2940389071177</v>
      </c>
      <c r="AA579" s="618">
        <v>3435.2940130177067</v>
      </c>
      <c r="AB579" s="308">
        <v>3435.2939871282956</v>
      </c>
      <c r="AC579" s="309"/>
      <c r="AD579" s="309"/>
      <c r="AE579" s="309"/>
      <c r="AF579" s="309"/>
      <c r="AG579" s="309"/>
      <c r="AH579" s="309"/>
      <c r="AI579" s="309"/>
      <c r="AJ579" s="309"/>
      <c r="AK579" s="309"/>
      <c r="AL579" s="309"/>
      <c r="AM579" s="309"/>
      <c r="AN579" s="309"/>
      <c r="AO579" s="309"/>
      <c r="AP579" s="163"/>
    </row>
    <row r="580" spans="2:42" x14ac:dyDescent="0.3">
      <c r="B580" s="6"/>
      <c r="C580" s="6"/>
      <c r="D580" s="6">
        <f t="shared" si="38"/>
        <v>14</v>
      </c>
      <c r="E580" s="643" t="str">
        <f t="shared" si="40"/>
        <v>Market Price Effects - Wholesale Capacity</v>
      </c>
      <c r="F580" s="303"/>
      <c r="I580" s="308">
        <v>0</v>
      </c>
      <c r="J580" s="308">
        <v>0</v>
      </c>
      <c r="K580" s="308">
        <v>0</v>
      </c>
      <c r="L580" s="618">
        <v>0</v>
      </c>
      <c r="M580" s="618">
        <v>0</v>
      </c>
      <c r="N580" s="618">
        <v>0</v>
      </c>
      <c r="O580" s="618">
        <v>0</v>
      </c>
      <c r="P580" s="618">
        <v>0</v>
      </c>
      <c r="Q580" s="618">
        <v>0</v>
      </c>
      <c r="R580" s="618">
        <v>0</v>
      </c>
      <c r="S580" s="618">
        <v>0</v>
      </c>
      <c r="T580" s="618">
        <v>0</v>
      </c>
      <c r="U580" s="618">
        <v>0</v>
      </c>
      <c r="V580" s="618">
        <v>0</v>
      </c>
      <c r="W580" s="618">
        <v>0</v>
      </c>
      <c r="X580" s="618">
        <v>0</v>
      </c>
      <c r="Y580" s="618">
        <v>0</v>
      </c>
      <c r="Z580" s="618">
        <v>0</v>
      </c>
      <c r="AA580" s="618">
        <v>0</v>
      </c>
      <c r="AB580" s="308">
        <v>0</v>
      </c>
      <c r="AC580" s="309"/>
      <c r="AD580" s="309"/>
      <c r="AE580" s="309"/>
      <c r="AF580" s="309"/>
      <c r="AG580" s="309"/>
      <c r="AH580" s="309"/>
      <c r="AI580" s="309"/>
      <c r="AJ580" s="309"/>
      <c r="AK580" s="309"/>
      <c r="AL580" s="309"/>
      <c r="AM580" s="309"/>
      <c r="AN580" s="309"/>
      <c r="AO580" s="309"/>
      <c r="AP580" s="163"/>
    </row>
    <row r="581" spans="2:42" x14ac:dyDescent="0.3">
      <c r="B581" s="6"/>
      <c r="C581" s="6"/>
      <c r="D581" s="6">
        <f t="shared" si="38"/>
        <v>14</v>
      </c>
      <c r="E581" s="640" t="str">
        <f t="shared" si="40"/>
        <v>Disharge MWh</v>
      </c>
      <c r="I581" s="505"/>
      <c r="J581" s="505"/>
      <c r="K581" s="505"/>
      <c r="L581" s="505"/>
      <c r="M581" s="505"/>
      <c r="N581" s="505"/>
      <c r="O581" s="505"/>
      <c r="P581" s="505"/>
      <c r="Q581" s="505"/>
      <c r="R581" s="505"/>
      <c r="S581" s="505"/>
      <c r="T581" s="505"/>
      <c r="U581" s="505"/>
      <c r="V581" s="505"/>
      <c r="W581" s="505"/>
      <c r="X581" s="505"/>
      <c r="Y581" s="505"/>
      <c r="Z581" s="505"/>
      <c r="AA581" s="505"/>
      <c r="AB581" s="505"/>
      <c r="AC581" s="15"/>
      <c r="AD581" s="15"/>
      <c r="AE581" s="15"/>
      <c r="AF581" s="15"/>
      <c r="AG581" s="15"/>
      <c r="AH581" s="15"/>
      <c r="AI581" s="15"/>
      <c r="AJ581" s="15"/>
      <c r="AK581" s="15"/>
      <c r="AL581" s="15"/>
      <c r="AM581" s="15"/>
      <c r="AN581" s="15"/>
      <c r="AO581" s="15"/>
      <c r="AP581" s="163"/>
    </row>
    <row r="582" spans="2:42" x14ac:dyDescent="0.3">
      <c r="B582" s="6"/>
      <c r="C582" s="6"/>
      <c r="D582" s="6">
        <f t="shared" si="38"/>
        <v>14</v>
      </c>
      <c r="E582" s="641" t="str">
        <f t="shared" si="40"/>
        <v>Total ESS DCharge MWh</v>
      </c>
      <c r="I582" s="308">
        <v>2920.0000039582028</v>
      </c>
      <c r="J582" s="308">
        <v>2919.9999995196285</v>
      </c>
      <c r="K582" s="308">
        <v>2762.117832294497</v>
      </c>
      <c r="L582" s="618">
        <v>2783.978997672788</v>
      </c>
      <c r="M582" s="618">
        <v>2851.7800909532725</v>
      </c>
      <c r="N582" s="618">
        <v>2865.4240729415928</v>
      </c>
      <c r="O582" s="618">
        <v>2879.0680549299132</v>
      </c>
      <c r="P582" s="618">
        <v>2892.7120369182339</v>
      </c>
      <c r="Q582" s="618">
        <v>2906.3560189065543</v>
      </c>
      <c r="R582" s="618">
        <v>2920.0000008948746</v>
      </c>
      <c r="S582" s="618">
        <v>2920.0000008584034</v>
      </c>
      <c r="T582" s="618">
        <v>2920.0000008219322</v>
      </c>
      <c r="U582" s="618">
        <v>2920.000000785461</v>
      </c>
      <c r="V582" s="618">
        <v>2920.0000007489898</v>
      </c>
      <c r="W582" s="618">
        <v>2920.0000007125186</v>
      </c>
      <c r="X582" s="618">
        <v>2920.0000005700131</v>
      </c>
      <c r="Y582" s="618">
        <v>2920.0000004275071</v>
      </c>
      <c r="Z582" s="618">
        <v>2920.0000002850015</v>
      </c>
      <c r="AA582" s="618">
        <v>2920.0000001424955</v>
      </c>
      <c r="AB582" s="308">
        <v>2919.99999999999</v>
      </c>
      <c r="AC582" s="309"/>
      <c r="AD582" s="309"/>
      <c r="AE582" s="309"/>
      <c r="AF582" s="309"/>
      <c r="AG582" s="309"/>
      <c r="AH582" s="309"/>
      <c r="AI582" s="309"/>
      <c r="AJ582" s="309"/>
      <c r="AK582" s="309"/>
      <c r="AL582" s="309"/>
      <c r="AM582" s="309"/>
      <c r="AN582" s="309"/>
      <c r="AO582" s="309"/>
      <c r="AP582" s="163"/>
    </row>
    <row r="583" spans="2:42" x14ac:dyDescent="0.3">
      <c r="B583" s="6"/>
      <c r="C583" s="6"/>
      <c r="D583" s="6">
        <f t="shared" ref="D583:D646" si="41">D543+1</f>
        <v>14</v>
      </c>
      <c r="E583" s="642" t="str">
        <f t="shared" si="40"/>
        <v>Avg Generation Capacity</v>
      </c>
      <c r="F583" s="303"/>
      <c r="I583" s="308">
        <v>1.9971880650890288</v>
      </c>
      <c r="J583" s="308">
        <v>1.9997065572681827</v>
      </c>
      <c r="K583" s="308">
        <v>1.5994936336661834</v>
      </c>
      <c r="L583" s="618">
        <v>1.5988211081919603</v>
      </c>
      <c r="M583" s="618">
        <v>1.5984059397691459</v>
      </c>
      <c r="N583" s="618">
        <v>1.5984596685411581</v>
      </c>
      <c r="O583" s="618">
        <v>1.5985133973131702</v>
      </c>
      <c r="P583" s="618">
        <v>1.5985671260851819</v>
      </c>
      <c r="Q583" s="618">
        <v>1.5986208548571941</v>
      </c>
      <c r="R583" s="618">
        <v>1.5986745836292062</v>
      </c>
      <c r="S583" s="618">
        <v>1.5987784752477294</v>
      </c>
      <c r="T583" s="618">
        <v>1.5988823668662524</v>
      </c>
      <c r="U583" s="618">
        <v>1.5989862584847758</v>
      </c>
      <c r="V583" s="618">
        <v>1.3325751250860827</v>
      </c>
      <c r="W583" s="618">
        <v>1.3326617014348519</v>
      </c>
      <c r="X583" s="618">
        <v>1.3326450955583966</v>
      </c>
      <c r="Y583" s="618">
        <v>1.3326284896819414</v>
      </c>
      <c r="Z583" s="618">
        <v>1.3326118838054861</v>
      </c>
      <c r="AA583" s="618">
        <v>1.3325952779290309</v>
      </c>
      <c r="AB583" s="308">
        <v>1.3325786720525756</v>
      </c>
      <c r="AC583" s="309"/>
      <c r="AD583" s="309"/>
      <c r="AE583" s="309"/>
      <c r="AF583" s="309"/>
      <c r="AG583" s="309"/>
      <c r="AH583" s="309"/>
      <c r="AI583" s="309"/>
      <c r="AJ583" s="309"/>
      <c r="AK583" s="309"/>
      <c r="AL583" s="309"/>
      <c r="AM583" s="309"/>
      <c r="AN583" s="309"/>
      <c r="AO583" s="309"/>
      <c r="AP583" s="163"/>
    </row>
    <row r="584" spans="2:42" x14ac:dyDescent="0.3">
      <c r="B584" s="6"/>
      <c r="C584" s="6"/>
      <c r="D584" s="6">
        <f t="shared" si="41"/>
        <v>14</v>
      </c>
      <c r="E584" s="642" t="str">
        <f t="shared" si="40"/>
        <v>Avg Transmission Capacity</v>
      </c>
      <c r="F584" s="303"/>
      <c r="I584" s="308">
        <v>1.9971880650890288</v>
      </c>
      <c r="J584" s="308">
        <v>1.9997065572681827</v>
      </c>
      <c r="K584" s="308">
        <v>1.5994936336661834</v>
      </c>
      <c r="L584" s="618">
        <v>1.5988211081919603</v>
      </c>
      <c r="M584" s="618">
        <v>1.5984059397691459</v>
      </c>
      <c r="N584" s="618">
        <v>1.5984596685411581</v>
      </c>
      <c r="O584" s="618">
        <v>1.5985133973131702</v>
      </c>
      <c r="P584" s="618">
        <v>1.5985671260851819</v>
      </c>
      <c r="Q584" s="618">
        <v>1.5986208548571941</v>
      </c>
      <c r="R584" s="618">
        <v>1.5986745836292062</v>
      </c>
      <c r="S584" s="618">
        <v>1.5987784752477294</v>
      </c>
      <c r="T584" s="618">
        <v>1.5988823668662524</v>
      </c>
      <c r="U584" s="618">
        <v>1.5989862584847758</v>
      </c>
      <c r="V584" s="618">
        <v>1.3325751250860827</v>
      </c>
      <c r="W584" s="618">
        <v>1.3326617014348519</v>
      </c>
      <c r="X584" s="618">
        <v>1.3326450955583966</v>
      </c>
      <c r="Y584" s="618">
        <v>1.3326284896819414</v>
      </c>
      <c r="Z584" s="618">
        <v>1.3326118838054861</v>
      </c>
      <c r="AA584" s="618">
        <v>1.3325952779290309</v>
      </c>
      <c r="AB584" s="308">
        <v>1.3325786720525756</v>
      </c>
      <c r="AC584" s="309"/>
      <c r="AD584" s="309"/>
      <c r="AE584" s="309"/>
      <c r="AF584" s="309"/>
      <c r="AG584" s="309"/>
      <c r="AH584" s="309"/>
      <c r="AI584" s="309"/>
      <c r="AJ584" s="309"/>
      <c r="AK584" s="309"/>
      <c r="AL584" s="309"/>
      <c r="AM584" s="309"/>
      <c r="AN584" s="309"/>
      <c r="AO584" s="309"/>
      <c r="AP584" s="163"/>
    </row>
    <row r="585" spans="2:42" x14ac:dyDescent="0.3">
      <c r="B585" s="6"/>
      <c r="C585" s="6"/>
      <c r="D585" s="6">
        <f t="shared" si="41"/>
        <v>14</v>
      </c>
      <c r="E585" s="642" t="str">
        <f t="shared" si="40"/>
        <v>Avg Distribution Capacity</v>
      </c>
      <c r="F585" s="303"/>
      <c r="I585" s="308">
        <v>1.6821118902447623</v>
      </c>
      <c r="J585" s="308">
        <v>1.7188298137176403</v>
      </c>
      <c r="K585" s="308">
        <v>1.5572386814829151</v>
      </c>
      <c r="L585" s="618">
        <v>1.556107819726152</v>
      </c>
      <c r="M585" s="618">
        <v>1.5013960056849442</v>
      </c>
      <c r="N585" s="618">
        <v>1.5088607181576033</v>
      </c>
      <c r="O585" s="618">
        <v>1.5163254306302623</v>
      </c>
      <c r="P585" s="618">
        <v>1.5237901431029208</v>
      </c>
      <c r="Q585" s="618">
        <v>1.5312548555755798</v>
      </c>
      <c r="R585" s="618">
        <v>1.5387195680482391</v>
      </c>
      <c r="S585" s="618">
        <v>1.5407487654315366</v>
      </c>
      <c r="T585" s="618">
        <v>1.5427779628148341</v>
      </c>
      <c r="U585" s="618">
        <v>1.5448071601981317</v>
      </c>
      <c r="V585" s="618">
        <v>1.2890302979845243</v>
      </c>
      <c r="W585" s="618">
        <v>1.2907212958039389</v>
      </c>
      <c r="X585" s="618">
        <v>1.2718158511989328</v>
      </c>
      <c r="Y585" s="618">
        <v>1.2529104065939267</v>
      </c>
      <c r="Z585" s="618">
        <v>1.2340049619889204</v>
      </c>
      <c r="AA585" s="618">
        <v>1.2150995173839145</v>
      </c>
      <c r="AB585" s="308">
        <v>1.1961940727789082</v>
      </c>
      <c r="AC585" s="309"/>
      <c r="AD585" s="309"/>
      <c r="AE585" s="309"/>
      <c r="AF585" s="309"/>
      <c r="AG585" s="309"/>
      <c r="AH585" s="309"/>
      <c r="AI585" s="309"/>
      <c r="AJ585" s="309"/>
      <c r="AK585" s="309"/>
      <c r="AL585" s="309"/>
      <c r="AM585" s="309"/>
      <c r="AN585" s="309"/>
      <c r="AO585" s="309"/>
      <c r="AP585" s="163"/>
    </row>
    <row r="586" spans="2:42" x14ac:dyDescent="0.3">
      <c r="B586" s="6"/>
      <c r="C586" s="6"/>
      <c r="D586" s="6">
        <f t="shared" si="41"/>
        <v>14</v>
      </c>
      <c r="E586" s="642" t="str">
        <f t="shared" si="40"/>
        <v>GHG Impacts</v>
      </c>
      <c r="F586" s="303"/>
      <c r="I586" s="308">
        <v>2920.000003958206</v>
      </c>
      <c r="J586" s="308">
        <v>2919.9999995196185</v>
      </c>
      <c r="K586" s="308">
        <v>2762.1178322944979</v>
      </c>
      <c r="L586" s="618">
        <v>2783.870466295411</v>
      </c>
      <c r="M586" s="618">
        <v>2851.4469803806055</v>
      </c>
      <c r="N586" s="618">
        <v>2864.526747617836</v>
      </c>
      <c r="O586" s="618">
        <v>2877.6065148550661</v>
      </c>
      <c r="P586" s="618">
        <v>2890.6862820922966</v>
      </c>
      <c r="Q586" s="618">
        <v>2903.7660493295266</v>
      </c>
      <c r="R586" s="618">
        <v>2916.8458165667571</v>
      </c>
      <c r="S586" s="618">
        <v>2911.4676348744597</v>
      </c>
      <c r="T586" s="618">
        <v>2906.0894531821623</v>
      </c>
      <c r="U586" s="618">
        <v>2900.7112714898649</v>
      </c>
      <c r="V586" s="618">
        <v>2895.3330897975675</v>
      </c>
      <c r="W586" s="618">
        <v>2889.9549081052701</v>
      </c>
      <c r="X586" s="618">
        <v>2877.0698417939511</v>
      </c>
      <c r="Y586" s="618">
        <v>2864.1847754826326</v>
      </c>
      <c r="Z586" s="618">
        <v>2851.2997091713137</v>
      </c>
      <c r="AA586" s="618">
        <v>2838.4146428599952</v>
      </c>
      <c r="AB586" s="308">
        <v>2825.5295765486762</v>
      </c>
      <c r="AC586" s="309"/>
      <c r="AD586" s="309"/>
      <c r="AE586" s="309"/>
      <c r="AF586" s="309"/>
      <c r="AG586" s="309"/>
      <c r="AH586" s="309"/>
      <c r="AI586" s="309"/>
      <c r="AJ586" s="309"/>
      <c r="AK586" s="309"/>
      <c r="AL586" s="309"/>
      <c r="AM586" s="309"/>
      <c r="AN586" s="309"/>
      <c r="AO586" s="309"/>
      <c r="AP586" s="163"/>
    </row>
    <row r="587" spans="2:42" x14ac:dyDescent="0.3">
      <c r="B587" s="6"/>
      <c r="C587" s="6"/>
      <c r="D587" s="6">
        <f t="shared" si="41"/>
        <v>14</v>
      </c>
      <c r="E587" s="642" t="str">
        <f t="shared" si="40"/>
        <v>Market Price Effects - Wholesale Energy</v>
      </c>
      <c r="F587" s="303"/>
      <c r="I587" s="308">
        <v>2920.0000039582064</v>
      </c>
      <c r="J587" s="308">
        <v>2919.9999995196185</v>
      </c>
      <c r="K587" s="308">
        <v>2762.1178322944979</v>
      </c>
      <c r="L587" s="618">
        <v>2783.9789976728007</v>
      </c>
      <c r="M587" s="618">
        <v>2851.7800909532734</v>
      </c>
      <c r="N587" s="618">
        <v>2865.4240729415947</v>
      </c>
      <c r="O587" s="618">
        <v>2879.0680549299159</v>
      </c>
      <c r="P587" s="618">
        <v>2892.7120369182367</v>
      </c>
      <c r="Q587" s="618">
        <v>2906.3560189065579</v>
      </c>
      <c r="R587" s="618">
        <v>2920.0000008948791</v>
      </c>
      <c r="S587" s="618">
        <v>2920.0000008584075</v>
      </c>
      <c r="T587" s="618">
        <v>2920.0000008219363</v>
      </c>
      <c r="U587" s="618">
        <v>2920.0000007854646</v>
      </c>
      <c r="V587" s="618">
        <v>2920.0000007489934</v>
      </c>
      <c r="W587" s="618">
        <v>2920.0000007125218</v>
      </c>
      <c r="X587" s="618">
        <v>2920.0000005700167</v>
      </c>
      <c r="Y587" s="618">
        <v>2920.0000004275121</v>
      </c>
      <c r="Z587" s="618">
        <v>2920.000000285007</v>
      </c>
      <c r="AA587" s="618">
        <v>2920.0000001425024</v>
      </c>
      <c r="AB587" s="308">
        <v>2919.9999999999973</v>
      </c>
      <c r="AC587" s="309"/>
      <c r="AD587" s="309"/>
      <c r="AE587" s="309"/>
      <c r="AF587" s="309"/>
      <c r="AG587" s="309"/>
      <c r="AH587" s="309"/>
      <c r="AI587" s="309"/>
      <c r="AJ587" s="309"/>
      <c r="AK587" s="309"/>
      <c r="AL587" s="309"/>
      <c r="AM587" s="309"/>
      <c r="AN587" s="309"/>
      <c r="AO587" s="309"/>
      <c r="AP587" s="163"/>
    </row>
    <row r="588" spans="2:42" x14ac:dyDescent="0.3">
      <c r="B588" s="6"/>
      <c r="C588" s="6"/>
      <c r="D588" s="6">
        <f t="shared" si="41"/>
        <v>14</v>
      </c>
      <c r="E588" s="642" t="str">
        <f t="shared" si="40"/>
        <v>Market Price Effects - Wholesale Capacity</v>
      </c>
      <c r="F588" s="303"/>
      <c r="I588" s="308">
        <v>0</v>
      </c>
      <c r="J588" s="308">
        <v>0</v>
      </c>
      <c r="K588" s="308">
        <v>0</v>
      </c>
      <c r="L588" s="618">
        <v>0</v>
      </c>
      <c r="M588" s="618">
        <v>0</v>
      </c>
      <c r="N588" s="618">
        <v>0</v>
      </c>
      <c r="O588" s="618">
        <v>0</v>
      </c>
      <c r="P588" s="618">
        <v>0</v>
      </c>
      <c r="Q588" s="618">
        <v>0</v>
      </c>
      <c r="R588" s="618">
        <v>0</v>
      </c>
      <c r="S588" s="618">
        <v>0</v>
      </c>
      <c r="T588" s="618">
        <v>0</v>
      </c>
      <c r="U588" s="618">
        <v>0</v>
      </c>
      <c r="V588" s="618">
        <v>0</v>
      </c>
      <c r="W588" s="618">
        <v>0</v>
      </c>
      <c r="X588" s="618">
        <v>0</v>
      </c>
      <c r="Y588" s="618">
        <v>0</v>
      </c>
      <c r="Z588" s="618">
        <v>0</v>
      </c>
      <c r="AA588" s="618">
        <v>0</v>
      </c>
      <c r="AB588" s="308">
        <v>0</v>
      </c>
      <c r="AC588" s="309"/>
      <c r="AD588" s="309"/>
      <c r="AE588" s="309"/>
      <c r="AF588" s="309"/>
      <c r="AG588" s="309"/>
      <c r="AH588" s="309"/>
      <c r="AI588" s="309"/>
      <c r="AJ588" s="309"/>
      <c r="AK588" s="309"/>
      <c r="AL588" s="309"/>
      <c r="AM588" s="309"/>
      <c r="AN588" s="309"/>
      <c r="AO588" s="309"/>
      <c r="AP588" s="163"/>
    </row>
    <row r="589" spans="2:42" x14ac:dyDescent="0.3">
      <c r="B589" s="6"/>
      <c r="C589" s="6"/>
      <c r="D589" s="6">
        <f t="shared" si="41"/>
        <v>14</v>
      </c>
      <c r="E589" s="544"/>
      <c r="F589" s="545"/>
      <c r="G589" s="545"/>
      <c r="H589" s="545"/>
      <c r="I589" s="545"/>
      <c r="J589" s="545"/>
      <c r="K589" s="545"/>
      <c r="L589" s="545"/>
      <c r="M589" s="545"/>
      <c r="N589" s="545"/>
      <c r="O589" s="545"/>
      <c r="P589" s="545"/>
      <c r="Q589" s="545"/>
      <c r="R589" s="545"/>
      <c r="S589" s="545"/>
      <c r="T589" s="545"/>
      <c r="U589" s="545"/>
      <c r="V589" s="545"/>
      <c r="W589" s="545"/>
      <c r="X589" s="545"/>
      <c r="Y589" s="545"/>
      <c r="Z589" s="545"/>
      <c r="AA589" s="545"/>
      <c r="AB589" s="545"/>
      <c r="AC589" s="545"/>
      <c r="AD589" s="545"/>
      <c r="AE589" s="545"/>
      <c r="AF589" s="545"/>
      <c r="AG589" s="545"/>
      <c r="AH589" s="545"/>
      <c r="AI589" s="545"/>
      <c r="AJ589" s="545"/>
      <c r="AK589" s="545"/>
      <c r="AL589" s="545"/>
      <c r="AM589" s="545"/>
      <c r="AN589" s="545"/>
      <c r="AO589" s="545"/>
      <c r="AP589" s="543"/>
    </row>
    <row r="590" spans="2:42" ht="21" x14ac:dyDescent="0.4">
      <c r="B590" s="6"/>
      <c r="C590" s="6"/>
      <c r="D590" s="6">
        <f t="shared" si="41"/>
        <v>15</v>
      </c>
      <c r="E590" s="632" t="str">
        <f>_xlfn.CONCAT(revenueSimulationID," ",$D590,"|",INDEX(StdConfigDesc,$D590,$E$29))</f>
        <v>Case 15|FTM - Load Reducer (5 MW / 10 MWh)</v>
      </c>
      <c r="F590" s="633"/>
      <c r="G590" s="633"/>
      <c r="H590" s="633"/>
      <c r="I590" s="633"/>
      <c r="J590" s="633"/>
      <c r="K590" s="633"/>
      <c r="L590" s="633"/>
      <c r="M590" s="633"/>
      <c r="N590" s="633"/>
      <c r="O590" s="633"/>
      <c r="P590" s="633"/>
      <c r="Q590" s="633"/>
      <c r="R590" s="633"/>
      <c r="S590" s="633"/>
      <c r="T590" s="633"/>
      <c r="U590" s="633"/>
      <c r="V590" s="633"/>
      <c r="W590" s="633"/>
      <c r="X590" s="633"/>
      <c r="Y590" s="633"/>
      <c r="Z590" s="633"/>
      <c r="AA590" s="633"/>
      <c r="AB590" s="633"/>
      <c r="AC590" s="633"/>
      <c r="AD590" s="633"/>
      <c r="AE590" s="633"/>
      <c r="AF590" s="633"/>
      <c r="AG590" s="633"/>
      <c r="AH590" s="633"/>
      <c r="AI590" s="633"/>
      <c r="AJ590" s="633"/>
      <c r="AK590" s="633"/>
      <c r="AL590" s="633"/>
      <c r="AM590" s="633"/>
      <c r="AN590" s="633"/>
      <c r="AO590" s="633"/>
      <c r="AP590" s="634"/>
    </row>
    <row r="591" spans="2:42" ht="25.8" x14ac:dyDescent="0.5">
      <c r="B591" s="6"/>
      <c r="C591" s="6"/>
      <c r="D591" s="6">
        <f t="shared" si="41"/>
        <v>15</v>
      </c>
      <c r="E591" s="635"/>
      <c r="F591" s="2">
        <v>2025</v>
      </c>
      <c r="G591" s="2">
        <f>F591+1</f>
        <v>2026</v>
      </c>
      <c r="H591" s="2">
        <f t="shared" ref="H591:AO591" si="42">G591+1</f>
        <v>2027</v>
      </c>
      <c r="I591" s="2">
        <f t="shared" si="42"/>
        <v>2028</v>
      </c>
      <c r="J591" s="2">
        <f t="shared" si="42"/>
        <v>2029</v>
      </c>
      <c r="K591" s="2">
        <f t="shared" si="42"/>
        <v>2030</v>
      </c>
      <c r="L591" s="2">
        <f t="shared" si="42"/>
        <v>2031</v>
      </c>
      <c r="M591" s="2">
        <f t="shared" si="42"/>
        <v>2032</v>
      </c>
      <c r="N591" s="2">
        <f t="shared" si="42"/>
        <v>2033</v>
      </c>
      <c r="O591" s="2">
        <f t="shared" si="42"/>
        <v>2034</v>
      </c>
      <c r="P591" s="2">
        <f t="shared" si="42"/>
        <v>2035</v>
      </c>
      <c r="Q591" s="2">
        <f t="shared" si="42"/>
        <v>2036</v>
      </c>
      <c r="R591" s="2">
        <f t="shared" si="42"/>
        <v>2037</v>
      </c>
      <c r="S591" s="2">
        <f t="shared" si="42"/>
        <v>2038</v>
      </c>
      <c r="T591" s="2">
        <f t="shared" si="42"/>
        <v>2039</v>
      </c>
      <c r="U591" s="2">
        <f t="shared" si="42"/>
        <v>2040</v>
      </c>
      <c r="V591" s="2">
        <f t="shared" si="42"/>
        <v>2041</v>
      </c>
      <c r="W591" s="2">
        <f t="shared" si="42"/>
        <v>2042</v>
      </c>
      <c r="X591" s="2">
        <f t="shared" si="42"/>
        <v>2043</v>
      </c>
      <c r="Y591" s="2">
        <f t="shared" si="42"/>
        <v>2044</v>
      </c>
      <c r="Z591" s="2">
        <f t="shared" si="42"/>
        <v>2045</v>
      </c>
      <c r="AA591" s="2">
        <f t="shared" si="42"/>
        <v>2046</v>
      </c>
      <c r="AB591" s="2">
        <f t="shared" si="42"/>
        <v>2047</v>
      </c>
      <c r="AC591" s="2">
        <f t="shared" si="42"/>
        <v>2048</v>
      </c>
      <c r="AD591" s="2">
        <f t="shared" si="42"/>
        <v>2049</v>
      </c>
      <c r="AE591" s="2">
        <f t="shared" si="42"/>
        <v>2050</v>
      </c>
      <c r="AF591" s="2">
        <f t="shared" si="42"/>
        <v>2051</v>
      </c>
      <c r="AG591" s="2">
        <f t="shared" si="42"/>
        <v>2052</v>
      </c>
      <c r="AH591" s="2">
        <f t="shared" si="42"/>
        <v>2053</v>
      </c>
      <c r="AI591" s="2">
        <f t="shared" si="42"/>
        <v>2054</v>
      </c>
      <c r="AJ591" s="2">
        <f t="shared" si="42"/>
        <v>2055</v>
      </c>
      <c r="AK591" s="2">
        <f t="shared" si="42"/>
        <v>2056</v>
      </c>
      <c r="AL591" s="2">
        <f t="shared" si="42"/>
        <v>2057</v>
      </c>
      <c r="AM591" s="2">
        <f t="shared" si="42"/>
        <v>2058</v>
      </c>
      <c r="AN591" s="2">
        <f t="shared" si="42"/>
        <v>2059</v>
      </c>
      <c r="AO591" s="2">
        <f t="shared" si="42"/>
        <v>2060</v>
      </c>
      <c r="AP591" s="163"/>
    </row>
    <row r="592" spans="2:42" x14ac:dyDescent="0.3">
      <c r="B592" s="6"/>
      <c r="C592" s="6"/>
      <c r="D592" s="6">
        <f t="shared" si="41"/>
        <v>15</v>
      </c>
      <c r="E592" s="636" t="str">
        <f>E552</f>
        <v>Capacity - PJM Market</v>
      </c>
      <c r="F592" s="302"/>
      <c r="G592" s="302"/>
      <c r="H592" s="302"/>
      <c r="I592" s="302">
        <v>0</v>
      </c>
      <c r="J592" s="302">
        <v>0</v>
      </c>
      <c r="K592" s="302">
        <v>0</v>
      </c>
      <c r="L592" s="302">
        <v>0</v>
      </c>
      <c r="M592" s="302">
        <v>0</v>
      </c>
      <c r="N592" s="302">
        <v>0</v>
      </c>
      <c r="O592" s="302">
        <v>0</v>
      </c>
      <c r="P592" s="302">
        <v>0</v>
      </c>
      <c r="Q592" s="302">
        <v>0</v>
      </c>
      <c r="R592" s="302">
        <v>0</v>
      </c>
      <c r="S592" s="302">
        <v>0</v>
      </c>
      <c r="T592" s="302">
        <v>0</v>
      </c>
      <c r="U592" s="302">
        <v>0</v>
      </c>
      <c r="V592" s="302">
        <v>0</v>
      </c>
      <c r="W592" s="302">
        <v>0</v>
      </c>
      <c r="X592" s="302">
        <v>0</v>
      </c>
      <c r="Y592" s="302">
        <v>0</v>
      </c>
      <c r="Z592" s="302">
        <v>0</v>
      </c>
      <c r="AA592" s="302">
        <v>0</v>
      </c>
      <c r="AB592" s="302">
        <v>0</v>
      </c>
      <c r="AC592" s="302">
        <v>0</v>
      </c>
      <c r="AD592" s="302">
        <v>0</v>
      </c>
      <c r="AE592" s="302">
        <v>0</v>
      </c>
      <c r="AF592" s="302">
        <v>0</v>
      </c>
      <c r="AG592" s="302">
        <v>0</v>
      </c>
      <c r="AH592" s="302">
        <v>0</v>
      </c>
      <c r="AI592" s="302">
        <v>0</v>
      </c>
      <c r="AJ592" s="302">
        <v>0</v>
      </c>
      <c r="AK592" s="302">
        <v>0</v>
      </c>
      <c r="AL592" s="302">
        <v>0</v>
      </c>
      <c r="AM592" s="302">
        <v>0</v>
      </c>
      <c r="AN592" s="302">
        <v>0</v>
      </c>
      <c r="AO592" s="302">
        <v>0</v>
      </c>
      <c r="AP592" s="163"/>
    </row>
    <row r="593" spans="2:42" x14ac:dyDescent="0.3">
      <c r="B593" s="6"/>
      <c r="C593" s="6"/>
      <c r="D593" s="6">
        <f t="shared" si="41"/>
        <v>15</v>
      </c>
      <c r="E593" s="636" t="str">
        <f t="shared" ref="E593:E628" si="43">E553</f>
        <v>Energy Arbitrage - PJM Market</v>
      </c>
      <c r="F593" s="303"/>
      <c r="G593" s="304"/>
      <c r="H593" s="304"/>
      <c r="I593" s="304">
        <v>0</v>
      </c>
      <c r="J593" s="304">
        <v>0</v>
      </c>
      <c r="K593" s="304">
        <v>0</v>
      </c>
      <c r="L593" s="304">
        <v>0</v>
      </c>
      <c r="M593" s="304">
        <v>0</v>
      </c>
      <c r="N593" s="304">
        <v>0</v>
      </c>
      <c r="O593" s="304">
        <v>0</v>
      </c>
      <c r="P593" s="304">
        <v>0</v>
      </c>
      <c r="Q593" s="304">
        <v>0</v>
      </c>
      <c r="R593" s="304">
        <v>0</v>
      </c>
      <c r="S593" s="304">
        <v>0</v>
      </c>
      <c r="T593" s="304">
        <v>0</v>
      </c>
      <c r="U593" s="304">
        <v>0</v>
      </c>
      <c r="V593" s="304">
        <v>0</v>
      </c>
      <c r="W593" s="304">
        <v>0</v>
      </c>
      <c r="X593" s="304">
        <v>0</v>
      </c>
      <c r="Y593" s="304">
        <v>0</v>
      </c>
      <c r="Z593" s="304">
        <v>0</v>
      </c>
      <c r="AA593" s="304">
        <v>0</v>
      </c>
      <c r="AB593" s="304">
        <v>0</v>
      </c>
      <c r="AC593" s="304"/>
      <c r="AD593" s="304"/>
      <c r="AE593" s="304"/>
      <c r="AF593" s="304"/>
      <c r="AG593" s="304"/>
      <c r="AH593" s="304"/>
      <c r="AI593" s="304"/>
      <c r="AJ593" s="304"/>
      <c r="AK593" s="304"/>
      <c r="AL593" s="304"/>
      <c r="AM593" s="304"/>
      <c r="AN593" s="304"/>
      <c r="AO593" s="304"/>
      <c r="AP593" s="163"/>
    </row>
    <row r="594" spans="2:42" x14ac:dyDescent="0.3">
      <c r="B594" s="6"/>
      <c r="C594" s="6"/>
      <c r="D594" s="6">
        <f t="shared" si="41"/>
        <v>15</v>
      </c>
      <c r="E594" s="636" t="str">
        <f t="shared" si="43"/>
        <v>Spin- PJM Market</v>
      </c>
      <c r="F594" s="303"/>
      <c r="G594" s="304"/>
      <c r="H594" s="304"/>
      <c r="I594" s="304">
        <v>57402.876761852131</v>
      </c>
      <c r="J594" s="304">
        <v>53014.222189296088</v>
      </c>
      <c r="K594" s="304">
        <v>55417.72596566713</v>
      </c>
      <c r="L594" s="304">
        <v>51562.16308285563</v>
      </c>
      <c r="M594" s="304">
        <v>48149.542150569512</v>
      </c>
      <c r="N594" s="304">
        <v>49299.438701822859</v>
      </c>
      <c r="O594" s="304">
        <v>50449.335253076206</v>
      </c>
      <c r="P594" s="304">
        <v>51599.231804329553</v>
      </c>
      <c r="Q594" s="304">
        <v>52749.1283555829</v>
      </c>
      <c r="R594" s="304">
        <v>53899.024906836246</v>
      </c>
      <c r="S594" s="304">
        <v>56560.579374472087</v>
      </c>
      <c r="T594" s="304">
        <v>59222.133842107934</v>
      </c>
      <c r="U594" s="304">
        <v>61883.688309743775</v>
      </c>
      <c r="V594" s="304">
        <v>64545.242777379623</v>
      </c>
      <c r="W594" s="304">
        <v>67206.797245015463</v>
      </c>
      <c r="X594" s="304">
        <v>69801.72549239303</v>
      </c>
      <c r="Y594" s="304">
        <v>72396.653739770598</v>
      </c>
      <c r="Z594" s="304">
        <v>74991.581987148151</v>
      </c>
      <c r="AA594" s="304">
        <v>77586.510234525718</v>
      </c>
      <c r="AB594" s="304">
        <v>80181.438481903286</v>
      </c>
      <c r="AC594" s="304"/>
      <c r="AD594" s="304"/>
      <c r="AE594" s="304"/>
      <c r="AF594" s="304"/>
      <c r="AG594" s="304"/>
      <c r="AH594" s="304"/>
      <c r="AI594" s="304"/>
      <c r="AJ594" s="304"/>
      <c r="AK594" s="304"/>
      <c r="AL594" s="304"/>
      <c r="AM594" s="304"/>
      <c r="AN594" s="304"/>
      <c r="AO594" s="304"/>
      <c r="AP594" s="163"/>
    </row>
    <row r="595" spans="2:42" x14ac:dyDescent="0.3">
      <c r="B595" s="6"/>
      <c r="C595" s="6"/>
      <c r="D595" s="6">
        <f t="shared" si="41"/>
        <v>15</v>
      </c>
      <c r="E595" s="636" t="str">
        <f t="shared" si="43"/>
        <v>Non-Spin - PJM Market</v>
      </c>
      <c r="F595" s="303"/>
      <c r="G595" s="304"/>
      <c r="H595" s="304"/>
      <c r="I595" s="304"/>
      <c r="J595" s="304"/>
      <c r="K595" s="304"/>
      <c r="L595" s="304"/>
      <c r="M595" s="304"/>
      <c r="N595" s="304"/>
      <c r="O595" s="304"/>
      <c r="P595" s="304"/>
      <c r="Q595" s="304"/>
      <c r="R595" s="304"/>
      <c r="S595" s="304"/>
      <c r="T595" s="304"/>
      <c r="U595" s="304"/>
      <c r="V595" s="304"/>
      <c r="W595" s="304"/>
      <c r="X595" s="304"/>
      <c r="Y595" s="304"/>
      <c r="Z595" s="304"/>
      <c r="AA595" s="304"/>
      <c r="AB595" s="304"/>
      <c r="AC595" s="304"/>
      <c r="AD595" s="304"/>
      <c r="AE595" s="304"/>
      <c r="AF595" s="304"/>
      <c r="AG595" s="304"/>
      <c r="AH595" s="304"/>
      <c r="AI595" s="304"/>
      <c r="AJ595" s="304"/>
      <c r="AK595" s="304"/>
      <c r="AL595" s="304"/>
      <c r="AM595" s="304"/>
      <c r="AN595" s="304"/>
      <c r="AO595" s="304"/>
      <c r="AP595" s="163"/>
    </row>
    <row r="596" spans="2:42" x14ac:dyDescent="0.3">
      <c r="B596" s="6"/>
      <c r="C596" s="6"/>
      <c r="D596" s="6">
        <f t="shared" si="41"/>
        <v>15</v>
      </c>
      <c r="E596" s="636" t="str">
        <f t="shared" si="43"/>
        <v>Regulation - PJM Market</v>
      </c>
      <c r="F596" s="303"/>
      <c r="G596" s="304"/>
      <c r="H596" s="304"/>
      <c r="I596" s="304">
        <v>334325.92001482856</v>
      </c>
      <c r="J596" s="304">
        <v>160373.68094920367</v>
      </c>
      <c r="K596" s="304">
        <v>82343.754160621102</v>
      </c>
      <c r="L596" s="304">
        <v>49885.823508463698</v>
      </c>
      <c r="M596" s="304">
        <v>32539.220860463211</v>
      </c>
      <c r="N596" s="304">
        <v>29676.763012725467</v>
      </c>
      <c r="O596" s="304">
        <v>26814.305164987716</v>
      </c>
      <c r="P596" s="304">
        <v>23951.847317249969</v>
      </c>
      <c r="Q596" s="304">
        <v>21089.389469512225</v>
      </c>
      <c r="R596" s="304">
        <v>18226.931621774482</v>
      </c>
      <c r="S596" s="304">
        <v>19519.052333998505</v>
      </c>
      <c r="T596" s="304">
        <v>20811.173046222535</v>
      </c>
      <c r="U596" s="304">
        <v>22103.293758446558</v>
      </c>
      <c r="V596" s="304">
        <v>23395.414470670588</v>
      </c>
      <c r="W596" s="304">
        <v>24687.535182894611</v>
      </c>
      <c r="X596" s="304">
        <v>24597.754317217812</v>
      </c>
      <c r="Y596" s="304">
        <v>24507.97345154102</v>
      </c>
      <c r="Z596" s="304">
        <v>24418.192585864221</v>
      </c>
      <c r="AA596" s="304">
        <v>24328.411720187418</v>
      </c>
      <c r="AB596" s="304">
        <v>24238.630854510622</v>
      </c>
      <c r="AC596" s="304"/>
      <c r="AD596" s="304"/>
      <c r="AE596" s="304"/>
      <c r="AF596" s="304"/>
      <c r="AG596" s="304"/>
      <c r="AH596" s="304"/>
      <c r="AI596" s="304"/>
      <c r="AJ596" s="304"/>
      <c r="AK596" s="304"/>
      <c r="AL596" s="304"/>
      <c r="AM596" s="304"/>
      <c r="AN596" s="304"/>
      <c r="AO596" s="304"/>
      <c r="AP596" s="163"/>
    </row>
    <row r="597" spans="2:42" x14ac:dyDescent="0.3">
      <c r="B597" s="6"/>
      <c r="C597" s="6"/>
      <c r="D597" s="6">
        <f t="shared" si="41"/>
        <v>15</v>
      </c>
      <c r="E597" s="636" t="str">
        <f t="shared" si="43"/>
        <v>Incurred Energy Charges</v>
      </c>
      <c r="F597" s="303"/>
      <c r="G597" s="304"/>
      <c r="H597" s="304"/>
      <c r="I597" s="304">
        <v>-142892.11828378798</v>
      </c>
      <c r="J597" s="304">
        <v>-166569.62314860904</v>
      </c>
      <c r="K597" s="304">
        <v>-166219.27547757726</v>
      </c>
      <c r="L597" s="304">
        <v>-179586.08466561767</v>
      </c>
      <c r="M597" s="304">
        <v>-183036.72453257503</v>
      </c>
      <c r="N597" s="304">
        <v>-187584.59014858195</v>
      </c>
      <c r="O597" s="304">
        <v>-192132.45576458887</v>
      </c>
      <c r="P597" s="304">
        <v>-196680.32138059576</v>
      </c>
      <c r="Q597" s="304">
        <v>-201228.18699660269</v>
      </c>
      <c r="R597" s="304">
        <v>-205776.05261260961</v>
      </c>
      <c r="S597" s="304">
        <v>-201392.92634725122</v>
      </c>
      <c r="T597" s="304">
        <v>-197009.80008189284</v>
      </c>
      <c r="U597" s="304">
        <v>-192626.67381653446</v>
      </c>
      <c r="V597" s="304">
        <v>-188243.54755117607</v>
      </c>
      <c r="W597" s="304">
        <v>-183860.42128581769</v>
      </c>
      <c r="X597" s="304">
        <v>-188108.34994371724</v>
      </c>
      <c r="Y597" s="304">
        <v>-192356.27860161677</v>
      </c>
      <c r="Z597" s="304">
        <v>-196604.20725951632</v>
      </c>
      <c r="AA597" s="304">
        <v>-200852.13591741584</v>
      </c>
      <c r="AB597" s="304">
        <v>-205100.06457531539</v>
      </c>
      <c r="AC597" s="304"/>
      <c r="AD597" s="304"/>
      <c r="AE597" s="304"/>
      <c r="AF597" s="304"/>
      <c r="AG597" s="304"/>
      <c r="AH597" s="304"/>
      <c r="AI597" s="304"/>
      <c r="AJ597" s="304"/>
      <c r="AK597" s="304"/>
      <c r="AL597" s="304"/>
      <c r="AM597" s="304"/>
      <c r="AN597" s="304"/>
      <c r="AO597" s="304"/>
      <c r="AP597" s="163"/>
    </row>
    <row r="598" spans="2:42" x14ac:dyDescent="0.3">
      <c r="B598" s="6"/>
      <c r="C598" s="6"/>
      <c r="D598" s="6">
        <f t="shared" si="41"/>
        <v>15</v>
      </c>
      <c r="E598" s="636" t="str">
        <f t="shared" si="43"/>
        <v>As Used Demand Charges</v>
      </c>
      <c r="F598" s="303"/>
      <c r="G598" s="304"/>
      <c r="H598" s="304"/>
      <c r="I598" s="304">
        <v>-44586.176679937955</v>
      </c>
      <c r="J598" s="304">
        <v>-54230.239869643519</v>
      </c>
      <c r="K598" s="304">
        <v>-44798.330162385726</v>
      </c>
      <c r="L598" s="304">
        <v>-49351.42019316621</v>
      </c>
      <c r="M598" s="304">
        <v>-56738.475622706916</v>
      </c>
      <c r="N598" s="304">
        <v>-61404.318080276076</v>
      </c>
      <c r="O598" s="304">
        <v>-66070.160537845237</v>
      </c>
      <c r="P598" s="304">
        <v>-70736.002995414397</v>
      </c>
      <c r="Q598" s="304">
        <v>-75401.845452983544</v>
      </c>
      <c r="R598" s="304">
        <v>-80067.687910552704</v>
      </c>
      <c r="S598" s="304">
        <v>-83917.639993003657</v>
      </c>
      <c r="T598" s="304">
        <v>-87767.59207545461</v>
      </c>
      <c r="U598" s="304">
        <v>-91617.544157905562</v>
      </c>
      <c r="V598" s="304">
        <v>-95467.496240356515</v>
      </c>
      <c r="W598" s="304">
        <v>-99317.448322807468</v>
      </c>
      <c r="X598" s="304">
        <v>-99823.416342556215</v>
      </c>
      <c r="Y598" s="304">
        <v>-100329.38436230498</v>
      </c>
      <c r="Z598" s="304">
        <v>-100835.35238205372</v>
      </c>
      <c r="AA598" s="304">
        <v>-101341.32040180248</v>
      </c>
      <c r="AB598" s="304">
        <v>-101847.28842155123</v>
      </c>
      <c r="AC598" s="304"/>
      <c r="AD598" s="304"/>
      <c r="AE598" s="304"/>
      <c r="AF598" s="304"/>
      <c r="AG598" s="304"/>
      <c r="AH598" s="304"/>
      <c r="AI598" s="304"/>
      <c r="AJ598" s="304"/>
      <c r="AK598" s="304"/>
      <c r="AL598" s="304"/>
      <c r="AM598" s="304"/>
      <c r="AN598" s="304"/>
      <c r="AO598" s="304"/>
      <c r="AP598" s="163"/>
    </row>
    <row r="599" spans="2:42" x14ac:dyDescent="0.3">
      <c r="B599" s="6"/>
      <c r="C599" s="6"/>
      <c r="D599" s="6">
        <f t="shared" si="41"/>
        <v>15</v>
      </c>
      <c r="E599" s="636" t="str">
        <f t="shared" si="43"/>
        <v>Contract Demand Charges  Fixed</v>
      </c>
      <c r="F599" s="303"/>
      <c r="G599" s="304"/>
      <c r="H599" s="304"/>
      <c r="I599" s="304">
        <v>0</v>
      </c>
      <c r="J599" s="304">
        <v>0</v>
      </c>
      <c r="K599" s="304">
        <v>0</v>
      </c>
      <c r="L599" s="304">
        <v>0</v>
      </c>
      <c r="M599" s="304">
        <v>0</v>
      </c>
      <c r="N599" s="304">
        <v>0</v>
      </c>
      <c r="O599" s="304">
        <v>0</v>
      </c>
      <c r="P599" s="304">
        <v>0</v>
      </c>
      <c r="Q599" s="304">
        <v>0</v>
      </c>
      <c r="R599" s="304">
        <v>0</v>
      </c>
      <c r="S599" s="304">
        <v>0</v>
      </c>
      <c r="T599" s="304">
        <v>0</v>
      </c>
      <c r="U599" s="304">
        <v>0</v>
      </c>
      <c r="V599" s="304">
        <v>0</v>
      </c>
      <c r="W599" s="304">
        <v>0</v>
      </c>
      <c r="X599" s="304">
        <v>0</v>
      </c>
      <c r="Y599" s="304">
        <v>0</v>
      </c>
      <c r="Z599" s="304">
        <v>0</v>
      </c>
      <c r="AA599" s="304">
        <v>0</v>
      </c>
      <c r="AB599" s="304">
        <v>0</v>
      </c>
      <c r="AC599" s="304"/>
      <c r="AD599" s="304"/>
      <c r="AE599" s="304"/>
      <c r="AF599" s="304"/>
      <c r="AG599" s="304"/>
      <c r="AH599" s="304"/>
      <c r="AI599" s="304"/>
      <c r="AJ599" s="304"/>
      <c r="AK599" s="304"/>
      <c r="AL599" s="304"/>
      <c r="AM599" s="304"/>
      <c r="AN599" s="304"/>
      <c r="AO599" s="304"/>
      <c r="AP599" s="163"/>
    </row>
    <row r="600" spans="2:42" x14ac:dyDescent="0.3">
      <c r="B600" s="6"/>
      <c r="C600" s="6"/>
      <c r="D600" s="6">
        <f t="shared" si="41"/>
        <v>15</v>
      </c>
      <c r="E600" s="636" t="str">
        <f t="shared" si="43"/>
        <v>Customer Charges/ Fixed Charges</v>
      </c>
      <c r="F600" s="303"/>
      <c r="G600" s="304"/>
      <c r="H600" s="304"/>
      <c r="I600" s="304">
        <v>-404.17228800000004</v>
      </c>
      <c r="J600" s="304">
        <v>-420.33917952000007</v>
      </c>
      <c r="K600" s="304">
        <v>-437.15274670080009</v>
      </c>
      <c r="L600" s="304">
        <v>-454.63885656883213</v>
      </c>
      <c r="M600" s="304">
        <v>-472.82441083158545</v>
      </c>
      <c r="N600" s="304">
        <v>-491.73738726484891</v>
      </c>
      <c r="O600" s="304">
        <v>-511.40688275544289</v>
      </c>
      <c r="P600" s="304">
        <v>-531.86315806566063</v>
      </c>
      <c r="Q600" s="304">
        <v>-553.13768438828708</v>
      </c>
      <c r="R600" s="304">
        <v>-575.26319176381855</v>
      </c>
      <c r="S600" s="304">
        <v>-598.27371943437129</v>
      </c>
      <c r="T600" s="304">
        <v>-622.20466821174614</v>
      </c>
      <c r="U600" s="304">
        <v>-647.09285494021606</v>
      </c>
      <c r="V600" s="304">
        <v>-672.97656913782475</v>
      </c>
      <c r="W600" s="304">
        <v>-699.89563190333774</v>
      </c>
      <c r="X600" s="304">
        <v>-727.89145717947133</v>
      </c>
      <c r="Y600" s="304">
        <v>-757.00711546665025</v>
      </c>
      <c r="Z600" s="304">
        <v>-787.28740008531634</v>
      </c>
      <c r="AA600" s="304">
        <v>-818.77889608872897</v>
      </c>
      <c r="AB600" s="304">
        <v>-851.53005193227818</v>
      </c>
      <c r="AC600" s="304"/>
      <c r="AD600" s="304"/>
      <c r="AE600" s="304"/>
      <c r="AF600" s="304"/>
      <c r="AG600" s="304"/>
      <c r="AH600" s="304"/>
      <c r="AI600" s="304"/>
      <c r="AJ600" s="304"/>
      <c r="AK600" s="304"/>
      <c r="AL600" s="304"/>
      <c r="AM600" s="304"/>
      <c r="AN600" s="304"/>
      <c r="AO600" s="304"/>
      <c r="AP600" s="163"/>
    </row>
    <row r="601" spans="2:42" x14ac:dyDescent="0.3">
      <c r="B601" s="6"/>
      <c r="C601" s="6"/>
      <c r="D601" s="6">
        <f t="shared" si="41"/>
        <v>15</v>
      </c>
      <c r="E601" s="637" t="str">
        <f t="shared" si="43"/>
        <v>Energy Savings</v>
      </c>
      <c r="F601" s="303"/>
      <c r="G601" s="304"/>
      <c r="H601" s="304"/>
      <c r="I601" s="304"/>
      <c r="J601" s="304"/>
      <c r="K601" s="304"/>
      <c r="L601" s="617"/>
      <c r="M601" s="617"/>
      <c r="N601" s="617"/>
      <c r="O601" s="617"/>
      <c r="P601" s="617"/>
      <c r="Q601" s="617"/>
      <c r="R601" s="617"/>
      <c r="S601" s="617"/>
      <c r="T601" s="617"/>
      <c r="U601" s="617"/>
      <c r="V601" s="617"/>
      <c r="W601" s="617"/>
      <c r="X601" s="617"/>
      <c r="Y601" s="617"/>
      <c r="Z601" s="617"/>
      <c r="AA601" s="617"/>
      <c r="AB601" s="304"/>
      <c r="AC601" s="304"/>
      <c r="AD601" s="304"/>
      <c r="AE601" s="304"/>
      <c r="AF601" s="304"/>
      <c r="AG601" s="304"/>
      <c r="AH601" s="304"/>
      <c r="AI601" s="304"/>
      <c r="AJ601" s="304"/>
      <c r="AK601" s="304"/>
      <c r="AL601" s="304"/>
      <c r="AM601" s="304"/>
      <c r="AN601" s="304"/>
      <c r="AO601" s="304"/>
      <c r="AP601" s="163"/>
    </row>
    <row r="602" spans="2:42" x14ac:dyDescent="0.3">
      <c r="B602" s="6"/>
      <c r="C602" s="6"/>
      <c r="D602" s="6">
        <f t="shared" si="41"/>
        <v>15</v>
      </c>
      <c r="E602" s="637" t="str">
        <f t="shared" si="43"/>
        <v xml:space="preserve">Demand Savings </v>
      </c>
      <c r="F602" s="303"/>
      <c r="G602" s="304"/>
      <c r="H602" s="304"/>
      <c r="I602" s="304"/>
      <c r="J602" s="304"/>
      <c r="K602" s="304"/>
      <c r="L602" s="617"/>
      <c r="M602" s="617"/>
      <c r="N602" s="617"/>
      <c r="O602" s="617"/>
      <c r="P602" s="617"/>
      <c r="Q602" s="617"/>
      <c r="R602" s="617"/>
      <c r="S602" s="617"/>
      <c r="T602" s="617"/>
      <c r="U602" s="617"/>
      <c r="V602" s="617"/>
      <c r="W602" s="617"/>
      <c r="X602" s="617"/>
      <c r="Y602" s="617"/>
      <c r="Z602" s="617"/>
      <c r="AA602" s="617"/>
      <c r="AB602" s="304"/>
      <c r="AC602" s="304"/>
      <c r="AD602" s="304"/>
      <c r="AE602" s="304"/>
      <c r="AF602" s="304"/>
      <c r="AG602" s="304"/>
      <c r="AH602" s="304"/>
      <c r="AI602" s="304"/>
      <c r="AJ602" s="304"/>
      <c r="AK602" s="304"/>
      <c r="AL602" s="304"/>
      <c r="AM602" s="304"/>
      <c r="AN602" s="304"/>
      <c r="AO602" s="304"/>
      <c r="AP602" s="163"/>
    </row>
    <row r="603" spans="2:42" x14ac:dyDescent="0.3">
      <c r="B603" s="6"/>
      <c r="C603" s="6"/>
      <c r="D603" s="6">
        <f t="shared" si="41"/>
        <v>15</v>
      </c>
      <c r="E603" s="638" t="str">
        <f t="shared" si="43"/>
        <v>Energy Generation - Export</v>
      </c>
      <c r="F603" s="303"/>
      <c r="G603" s="304"/>
      <c r="H603" s="304"/>
      <c r="I603" s="304">
        <v>242793.81155034949</v>
      </c>
      <c r="J603" s="304">
        <v>270875.64449793007</v>
      </c>
      <c r="K603" s="304">
        <v>284965.41750185314</v>
      </c>
      <c r="L603" s="617">
        <v>294409.28201651888</v>
      </c>
      <c r="M603" s="617">
        <v>318017.97355554468</v>
      </c>
      <c r="N603" s="617">
        <v>333298.01015494025</v>
      </c>
      <c r="O603" s="617">
        <v>348578.04675433581</v>
      </c>
      <c r="P603" s="617">
        <v>363858.08335373143</v>
      </c>
      <c r="Q603" s="617">
        <v>379138.119953127</v>
      </c>
      <c r="R603" s="617">
        <v>394418.15655252256</v>
      </c>
      <c r="S603" s="617">
        <v>431616.80130200955</v>
      </c>
      <c r="T603" s="617">
        <v>468815.44605149655</v>
      </c>
      <c r="U603" s="617">
        <v>506014.09080098348</v>
      </c>
      <c r="V603" s="617">
        <v>543212.73555047042</v>
      </c>
      <c r="W603" s="617">
        <v>580411.38029995747</v>
      </c>
      <c r="X603" s="617">
        <v>603589.33019740961</v>
      </c>
      <c r="Y603" s="617">
        <v>626767.28009486175</v>
      </c>
      <c r="Z603" s="617">
        <v>649945.22999231389</v>
      </c>
      <c r="AA603" s="617">
        <v>673123.17988976603</v>
      </c>
      <c r="AB603" s="304">
        <v>696301.12978721817</v>
      </c>
      <c r="AC603" s="304"/>
      <c r="AD603" s="304"/>
      <c r="AE603" s="304"/>
      <c r="AF603" s="304"/>
      <c r="AG603" s="304"/>
      <c r="AH603" s="304"/>
      <c r="AI603" s="304"/>
      <c r="AJ603" s="304"/>
      <c r="AK603" s="304"/>
      <c r="AL603" s="304"/>
      <c r="AM603" s="304"/>
      <c r="AN603" s="304"/>
      <c r="AO603" s="304"/>
      <c r="AP603" s="163"/>
    </row>
    <row r="604" spans="2:42" x14ac:dyDescent="0.3">
      <c r="B604" s="6"/>
      <c r="C604" s="6"/>
      <c r="D604" s="6">
        <f t="shared" si="41"/>
        <v>15</v>
      </c>
      <c r="E604" s="638" t="str">
        <f t="shared" si="43"/>
        <v>Generation Capacity</v>
      </c>
      <c r="F604" s="303"/>
      <c r="G604" s="304"/>
      <c r="H604" s="304"/>
      <c r="I604" s="304">
        <v>449293.41694347636</v>
      </c>
      <c r="J604" s="304">
        <v>449843.65503031714</v>
      </c>
      <c r="K604" s="304">
        <v>359962.15906038933</v>
      </c>
      <c r="L604" s="617">
        <v>359955.4245692874</v>
      </c>
      <c r="M604" s="617">
        <v>359853.43271166593</v>
      </c>
      <c r="N604" s="617">
        <v>359865.58087074157</v>
      </c>
      <c r="O604" s="617">
        <v>359877.72902981722</v>
      </c>
      <c r="P604" s="617">
        <v>359889.8771888928</v>
      </c>
      <c r="Q604" s="617">
        <v>359902.02534796845</v>
      </c>
      <c r="R604" s="617">
        <v>359914.17350704409</v>
      </c>
      <c r="S604" s="617">
        <v>371716.40451763198</v>
      </c>
      <c r="T604" s="617">
        <v>383518.63552821992</v>
      </c>
      <c r="U604" s="617">
        <v>395320.86653880781</v>
      </c>
      <c r="V604" s="617">
        <v>407123.09754939575</v>
      </c>
      <c r="W604" s="617">
        <v>418925.32855998364</v>
      </c>
      <c r="X604" s="617">
        <v>430583.68480053119</v>
      </c>
      <c r="Y604" s="617">
        <v>442242.0410410788</v>
      </c>
      <c r="Z604" s="617">
        <v>453900.39728162636</v>
      </c>
      <c r="AA604" s="617">
        <v>465558.75352217397</v>
      </c>
      <c r="AB604" s="304">
        <v>477217.10976272152</v>
      </c>
      <c r="AC604" s="304"/>
      <c r="AD604" s="304"/>
      <c r="AE604" s="304"/>
      <c r="AF604" s="304"/>
      <c r="AG604" s="304"/>
      <c r="AH604" s="304"/>
      <c r="AI604" s="304"/>
      <c r="AJ604" s="304"/>
      <c r="AK604" s="304"/>
      <c r="AL604" s="304"/>
      <c r="AM604" s="304"/>
      <c r="AN604" s="304"/>
      <c r="AO604" s="304"/>
      <c r="AP604" s="163"/>
    </row>
    <row r="605" spans="2:42" x14ac:dyDescent="0.3">
      <c r="B605" s="6"/>
      <c r="C605" s="6"/>
      <c r="D605" s="6">
        <f t="shared" si="41"/>
        <v>15</v>
      </c>
      <c r="E605" s="638" t="str">
        <f t="shared" si="43"/>
        <v>Transmission Capacity</v>
      </c>
      <c r="F605" s="303"/>
      <c r="G605" s="304"/>
      <c r="H605" s="304"/>
      <c r="I605" s="304">
        <v>153110.87369825528</v>
      </c>
      <c r="J605" s="304">
        <v>153298.38464553637</v>
      </c>
      <c r="K605" s="304">
        <v>122668.43580078585</v>
      </c>
      <c r="L605" s="617">
        <v>122666.14081096929</v>
      </c>
      <c r="M605" s="617">
        <v>122631.38387520832</v>
      </c>
      <c r="N605" s="617">
        <v>122635.52374278651</v>
      </c>
      <c r="O605" s="617">
        <v>122639.66361036469</v>
      </c>
      <c r="P605" s="617">
        <v>122643.80347794287</v>
      </c>
      <c r="Q605" s="617">
        <v>122647.94334552105</v>
      </c>
      <c r="R605" s="617">
        <v>122652.08321309923</v>
      </c>
      <c r="S605" s="617">
        <v>124768.79215519446</v>
      </c>
      <c r="T605" s="617">
        <v>126885.50109728969</v>
      </c>
      <c r="U605" s="617">
        <v>129002.2100393849</v>
      </c>
      <c r="V605" s="617">
        <v>131118.91898148012</v>
      </c>
      <c r="W605" s="617">
        <v>133235.62792357535</v>
      </c>
      <c r="X605" s="617">
        <v>136943.4686970264</v>
      </c>
      <c r="Y605" s="617">
        <v>140651.30947047746</v>
      </c>
      <c r="Z605" s="617">
        <v>144359.15024392854</v>
      </c>
      <c r="AA605" s="617">
        <v>148066.99101737959</v>
      </c>
      <c r="AB605" s="304">
        <v>151774.83179083065</v>
      </c>
      <c r="AC605" s="304"/>
      <c r="AD605" s="304"/>
      <c r="AE605" s="304"/>
      <c r="AF605" s="304"/>
      <c r="AG605" s="304"/>
      <c r="AH605" s="304"/>
      <c r="AI605" s="304"/>
      <c r="AJ605" s="304"/>
      <c r="AK605" s="304"/>
      <c r="AL605" s="304"/>
      <c r="AM605" s="304"/>
      <c r="AN605" s="304"/>
      <c r="AO605" s="304"/>
      <c r="AP605" s="163"/>
    </row>
    <row r="606" spans="2:42" x14ac:dyDescent="0.3">
      <c r="B606" s="6"/>
      <c r="C606" s="6"/>
      <c r="D606" s="6">
        <f t="shared" si="41"/>
        <v>15</v>
      </c>
      <c r="E606" s="638" t="str">
        <f t="shared" si="43"/>
        <v>Distribution Capacity</v>
      </c>
      <c r="F606" s="303"/>
      <c r="G606" s="304"/>
      <c r="H606" s="304"/>
      <c r="I606" s="304">
        <v>39163.870044675539</v>
      </c>
      <c r="J606" s="304">
        <v>40122.609462122804</v>
      </c>
      <c r="K606" s="304">
        <v>32808.984810621718</v>
      </c>
      <c r="L606" s="617">
        <v>32572.60852150794</v>
      </c>
      <c r="M606" s="617">
        <v>33013.779888851117</v>
      </c>
      <c r="N606" s="617">
        <v>33015.245752759613</v>
      </c>
      <c r="O606" s="617">
        <v>33016.711616668108</v>
      </c>
      <c r="P606" s="617">
        <v>33018.177480576611</v>
      </c>
      <c r="Q606" s="617">
        <v>33019.643344485106</v>
      </c>
      <c r="R606" s="617">
        <v>33021.109208393602</v>
      </c>
      <c r="S606" s="617">
        <v>33398.20564763603</v>
      </c>
      <c r="T606" s="617">
        <v>33775.302086878466</v>
      </c>
      <c r="U606" s="617">
        <v>34152.398526120895</v>
      </c>
      <c r="V606" s="617">
        <v>34529.49496536333</v>
      </c>
      <c r="W606" s="617">
        <v>34906.591404605759</v>
      </c>
      <c r="X606" s="617">
        <v>35270.830104676883</v>
      </c>
      <c r="Y606" s="617">
        <v>35635.068804748007</v>
      </c>
      <c r="Z606" s="617">
        <v>35999.307504819139</v>
      </c>
      <c r="AA606" s="617">
        <v>36363.546204890263</v>
      </c>
      <c r="AB606" s="304">
        <v>36727.784904961387</v>
      </c>
      <c r="AC606" s="304"/>
      <c r="AD606" s="304"/>
      <c r="AE606" s="304"/>
      <c r="AF606" s="304"/>
      <c r="AG606" s="304"/>
      <c r="AH606" s="304"/>
      <c r="AI606" s="304"/>
      <c r="AJ606" s="304"/>
      <c r="AK606" s="304"/>
      <c r="AL606" s="304"/>
      <c r="AM606" s="304"/>
      <c r="AN606" s="304"/>
      <c r="AO606" s="304"/>
      <c r="AP606" s="163"/>
    </row>
    <row r="607" spans="2:42" x14ac:dyDescent="0.3">
      <c r="B607" s="6"/>
      <c r="C607" s="6"/>
      <c r="D607" s="6">
        <f t="shared" si="41"/>
        <v>15</v>
      </c>
      <c r="E607" s="638" t="str">
        <f t="shared" si="43"/>
        <v>GHG Impacts</v>
      </c>
      <c r="F607" s="303"/>
      <c r="G607" s="304"/>
      <c r="H607" s="304"/>
      <c r="I607" s="304">
        <v>314036.47537403036</v>
      </c>
      <c r="J607" s="304">
        <v>356640.84014967427</v>
      </c>
      <c r="K607" s="304">
        <v>141462.70204449884</v>
      </c>
      <c r="L607" s="617">
        <v>172626.44675633436</v>
      </c>
      <c r="M607" s="617">
        <v>213263.13136003219</v>
      </c>
      <c r="N607" s="617">
        <v>240387.9735281828</v>
      </c>
      <c r="O607" s="617">
        <v>267512.81569633342</v>
      </c>
      <c r="P607" s="617">
        <v>294637.657864484</v>
      </c>
      <c r="Q607" s="617">
        <v>321762.50003263459</v>
      </c>
      <c r="R607" s="617">
        <v>348887.34220078524</v>
      </c>
      <c r="S607" s="617">
        <v>377052.54659318639</v>
      </c>
      <c r="T607" s="617">
        <v>405217.75098558748</v>
      </c>
      <c r="U607" s="617">
        <v>433382.95537798863</v>
      </c>
      <c r="V607" s="617">
        <v>461548.15977038979</v>
      </c>
      <c r="W607" s="617">
        <v>489713.36416279088</v>
      </c>
      <c r="X607" s="617">
        <v>529480.09576331137</v>
      </c>
      <c r="Y607" s="617">
        <v>569246.82736383192</v>
      </c>
      <c r="Z607" s="617">
        <v>609013.55896435236</v>
      </c>
      <c r="AA607" s="617">
        <v>648780.29056487279</v>
      </c>
      <c r="AB607" s="304">
        <v>688547.02216539334</v>
      </c>
      <c r="AC607" s="304"/>
      <c r="AD607" s="304"/>
      <c r="AE607" s="304"/>
      <c r="AF607" s="304"/>
      <c r="AG607" s="304"/>
      <c r="AH607" s="304"/>
      <c r="AI607" s="304"/>
      <c r="AJ607" s="304"/>
      <c r="AK607" s="304"/>
      <c r="AL607" s="304"/>
      <c r="AM607" s="304"/>
      <c r="AN607" s="304"/>
      <c r="AO607" s="304"/>
      <c r="AP607" s="163"/>
    </row>
    <row r="608" spans="2:42" x14ac:dyDescent="0.3">
      <c r="B608" s="6"/>
      <c r="C608" s="6"/>
      <c r="D608" s="6">
        <f t="shared" si="41"/>
        <v>15</v>
      </c>
      <c r="E608" s="638" t="str">
        <f t="shared" si="43"/>
        <v>Market Price Effects - Wholesale Energy</v>
      </c>
      <c r="F608" s="303"/>
      <c r="G608" s="304"/>
      <c r="H608" s="304"/>
      <c r="I608" s="304">
        <v>14824.446253097914</v>
      </c>
      <c r="J608" s="304">
        <v>27117.133945890226</v>
      </c>
      <c r="K608" s="304">
        <v>58056.746608506401</v>
      </c>
      <c r="L608" s="617">
        <v>60674.415024289279</v>
      </c>
      <c r="M608" s="617">
        <v>85648.814111349697</v>
      </c>
      <c r="N608" s="617">
        <v>78693.272450531425</v>
      </c>
      <c r="O608" s="617">
        <v>71737.730789713154</v>
      </c>
      <c r="P608" s="617">
        <v>64782.189128894883</v>
      </c>
      <c r="Q608" s="617">
        <v>57826.647468076611</v>
      </c>
      <c r="R608" s="617">
        <v>50871.10580725834</v>
      </c>
      <c r="S608" s="617">
        <v>62642.735833472179</v>
      </c>
      <c r="T608" s="617">
        <v>74414.365859686019</v>
      </c>
      <c r="U608" s="617">
        <v>86185.995885899873</v>
      </c>
      <c r="V608" s="617">
        <v>97957.625912113712</v>
      </c>
      <c r="W608" s="617">
        <v>109729.25593832755</v>
      </c>
      <c r="X608" s="617">
        <v>115649.60599672188</v>
      </c>
      <c r="Y608" s="617">
        <v>121569.9560551162</v>
      </c>
      <c r="Z608" s="617">
        <v>127490.30611351054</v>
      </c>
      <c r="AA608" s="617">
        <v>133410.65617190485</v>
      </c>
      <c r="AB608" s="304">
        <v>139331.00623029919</v>
      </c>
      <c r="AC608" s="304"/>
      <c r="AD608" s="304"/>
      <c r="AE608" s="304"/>
      <c r="AF608" s="304"/>
      <c r="AG608" s="304"/>
      <c r="AH608" s="304"/>
      <c r="AI608" s="304"/>
      <c r="AJ608" s="304"/>
      <c r="AK608" s="304"/>
      <c r="AL608" s="304"/>
      <c r="AM608" s="304"/>
      <c r="AN608" s="304"/>
      <c r="AO608" s="304"/>
      <c r="AP608" s="163"/>
    </row>
    <row r="609" spans="2:42" x14ac:dyDescent="0.3">
      <c r="B609" s="6"/>
      <c r="C609" s="6"/>
      <c r="D609" s="6">
        <f t="shared" si="41"/>
        <v>15</v>
      </c>
      <c r="E609" s="638" t="str">
        <f t="shared" si="43"/>
        <v>Market Price Effects - Wholesale Capacity</v>
      </c>
      <c r="F609" s="303"/>
      <c r="G609" s="304"/>
      <c r="H609" s="304"/>
      <c r="I609" s="304">
        <v>0</v>
      </c>
      <c r="J609" s="304">
        <v>0</v>
      </c>
      <c r="K609" s="304">
        <v>0</v>
      </c>
      <c r="L609" s="617">
        <v>0</v>
      </c>
      <c r="M609" s="617">
        <v>0</v>
      </c>
      <c r="N609" s="617">
        <v>0</v>
      </c>
      <c r="O609" s="617">
        <v>0</v>
      </c>
      <c r="P609" s="617">
        <v>0</v>
      </c>
      <c r="Q609" s="617">
        <v>0</v>
      </c>
      <c r="R609" s="617">
        <v>0</v>
      </c>
      <c r="S609" s="617">
        <v>0</v>
      </c>
      <c r="T609" s="617">
        <v>0</v>
      </c>
      <c r="U609" s="617">
        <v>0</v>
      </c>
      <c r="V609" s="617">
        <v>0</v>
      </c>
      <c r="W609" s="617">
        <v>0</v>
      </c>
      <c r="X609" s="617">
        <v>0</v>
      </c>
      <c r="Y609" s="617">
        <v>0</v>
      </c>
      <c r="Z609" s="617">
        <v>0</v>
      </c>
      <c r="AA609" s="617">
        <v>0</v>
      </c>
      <c r="AB609" s="304">
        <v>0</v>
      </c>
      <c r="AC609" s="304"/>
      <c r="AD609" s="304"/>
      <c r="AE609" s="304"/>
      <c r="AF609" s="304"/>
      <c r="AG609" s="304"/>
      <c r="AH609" s="304"/>
      <c r="AI609" s="304"/>
      <c r="AJ609" s="304"/>
      <c r="AK609" s="304"/>
      <c r="AL609" s="304"/>
      <c r="AM609" s="304"/>
      <c r="AN609" s="304"/>
      <c r="AO609" s="304"/>
      <c r="AP609" s="163"/>
    </row>
    <row r="610" spans="2:42" x14ac:dyDescent="0.3">
      <c r="B610" s="6"/>
      <c r="C610" s="6"/>
      <c r="D610" s="6">
        <f t="shared" si="41"/>
        <v>15</v>
      </c>
      <c r="E610" s="639" t="str">
        <f t="shared" si="43"/>
        <v>Avoided Cost of Participant Backup Generator</v>
      </c>
      <c r="F610" s="303"/>
      <c r="G610" s="303"/>
      <c r="H610" s="303"/>
      <c r="I610" s="303">
        <v>0</v>
      </c>
      <c r="J610" s="303">
        <v>0</v>
      </c>
      <c r="K610" s="303">
        <v>0</v>
      </c>
      <c r="L610" s="303">
        <v>0</v>
      </c>
      <c r="M610" s="303">
        <v>0</v>
      </c>
      <c r="N610" s="303">
        <v>0</v>
      </c>
      <c r="O610" s="303">
        <v>0</v>
      </c>
      <c r="P610" s="303">
        <v>0</v>
      </c>
      <c r="Q610" s="303">
        <v>0</v>
      </c>
      <c r="R610" s="303">
        <v>0</v>
      </c>
      <c r="S610" s="303">
        <v>0</v>
      </c>
      <c r="T610" s="303">
        <v>0</v>
      </c>
      <c r="U610" s="303">
        <v>0</v>
      </c>
      <c r="V610" s="303">
        <v>0</v>
      </c>
      <c r="W610" s="303">
        <v>0</v>
      </c>
      <c r="X610" s="303">
        <v>0</v>
      </c>
      <c r="Y610" s="303">
        <v>0</v>
      </c>
      <c r="Z610" s="303">
        <v>0</v>
      </c>
      <c r="AA610" s="303">
        <v>0</v>
      </c>
      <c r="AB610" s="303">
        <v>0</v>
      </c>
      <c r="AC610" s="303"/>
      <c r="AD610" s="303"/>
      <c r="AE610" s="303"/>
      <c r="AF610" s="303"/>
      <c r="AG610" s="303"/>
      <c r="AH610" s="303"/>
      <c r="AI610" s="303"/>
      <c r="AJ610" s="303"/>
      <c r="AK610" s="303"/>
      <c r="AL610" s="303"/>
      <c r="AM610" s="303"/>
      <c r="AN610" s="303"/>
      <c r="AO610" s="303"/>
      <c r="AP610" s="163"/>
    </row>
    <row r="611" spans="2:42" x14ac:dyDescent="0.3">
      <c r="B611" s="6"/>
      <c r="C611" s="6"/>
      <c r="D611" s="6">
        <f t="shared" si="41"/>
        <v>15</v>
      </c>
      <c r="E611" s="640" t="str">
        <f t="shared" si="43"/>
        <v>Full Eq DoD Cycle</v>
      </c>
      <c r="F611" s="303"/>
      <c r="G611" s="303"/>
      <c r="H611" s="310"/>
      <c r="I611" s="308">
        <v>365</v>
      </c>
      <c r="J611" s="308">
        <v>365</v>
      </c>
      <c r="K611" s="308">
        <v>365</v>
      </c>
      <c r="L611" s="618">
        <v>365</v>
      </c>
      <c r="M611" s="618">
        <v>365</v>
      </c>
      <c r="N611" s="618">
        <v>365</v>
      </c>
      <c r="O611" s="618">
        <v>365</v>
      </c>
      <c r="P611" s="618">
        <v>365</v>
      </c>
      <c r="Q611" s="618">
        <v>365</v>
      </c>
      <c r="R611" s="618">
        <v>365</v>
      </c>
      <c r="S611" s="618">
        <v>365</v>
      </c>
      <c r="T611" s="618">
        <v>365</v>
      </c>
      <c r="U611" s="618">
        <v>365</v>
      </c>
      <c r="V611" s="618">
        <v>365</v>
      </c>
      <c r="W611" s="618">
        <v>365</v>
      </c>
      <c r="X611" s="618">
        <v>365</v>
      </c>
      <c r="Y611" s="618">
        <v>365</v>
      </c>
      <c r="Z611" s="618">
        <v>365</v>
      </c>
      <c r="AA611" s="618">
        <v>365</v>
      </c>
      <c r="AB611" s="308">
        <v>365</v>
      </c>
      <c r="AC611" s="309"/>
      <c r="AD611" s="309"/>
      <c r="AE611" s="309"/>
      <c r="AF611" s="309"/>
      <c r="AG611" s="309"/>
      <c r="AH611" s="309"/>
      <c r="AI611" s="309"/>
      <c r="AJ611" s="309"/>
      <c r="AK611" s="309"/>
      <c r="AL611" s="309"/>
      <c r="AM611" s="309"/>
      <c r="AN611" s="309"/>
      <c r="AO611" s="309"/>
      <c r="AP611" s="163"/>
    </row>
    <row r="612" spans="2:42" x14ac:dyDescent="0.3">
      <c r="B612" s="6"/>
      <c r="C612" s="6"/>
      <c r="D612" s="6">
        <f t="shared" si="41"/>
        <v>15</v>
      </c>
      <c r="E612" s="640" t="str">
        <f t="shared" si="43"/>
        <v>Export MWh</v>
      </c>
      <c r="F612" s="303"/>
      <c r="G612" s="303"/>
      <c r="H612" s="310"/>
      <c r="I612" s="308"/>
      <c r="J612" s="308"/>
      <c r="K612" s="308"/>
      <c r="L612" s="618"/>
      <c r="M612" s="618"/>
      <c r="N612" s="618"/>
      <c r="O612" s="618"/>
      <c r="P612" s="618"/>
      <c r="Q612" s="618"/>
      <c r="R612" s="618"/>
      <c r="S612" s="618"/>
      <c r="T612" s="618"/>
      <c r="U612" s="618"/>
      <c r="V612" s="618"/>
      <c r="W612" s="618"/>
      <c r="X612" s="618"/>
      <c r="Y612" s="618"/>
      <c r="Z612" s="618"/>
      <c r="AA612" s="618"/>
      <c r="AB612" s="308"/>
      <c r="AC612" s="309"/>
      <c r="AD612" s="309"/>
      <c r="AE612" s="309"/>
      <c r="AF612" s="309"/>
      <c r="AG612" s="309"/>
      <c r="AH612" s="309"/>
      <c r="AI612" s="309"/>
      <c r="AJ612" s="309"/>
      <c r="AK612" s="309"/>
      <c r="AL612" s="309"/>
      <c r="AM612" s="309"/>
      <c r="AN612" s="309"/>
      <c r="AO612" s="309"/>
      <c r="AP612" s="163"/>
    </row>
    <row r="613" spans="2:42" x14ac:dyDescent="0.3">
      <c r="B613" s="6"/>
      <c r="C613" s="6"/>
      <c r="D613" s="6">
        <f t="shared" si="41"/>
        <v>15</v>
      </c>
      <c r="E613" s="640" t="str">
        <f t="shared" si="43"/>
        <v>Charge MWh</v>
      </c>
      <c r="F613" s="303"/>
      <c r="G613" s="303"/>
      <c r="H613" s="310"/>
      <c r="I613" s="311"/>
      <c r="J613" s="311"/>
      <c r="K613" s="311"/>
      <c r="L613" s="619"/>
      <c r="M613" s="619"/>
      <c r="N613" s="619"/>
      <c r="O613" s="619"/>
      <c r="P613" s="619"/>
      <c r="Q613" s="619"/>
      <c r="R613" s="619"/>
      <c r="S613" s="619"/>
      <c r="T613" s="619"/>
      <c r="U613" s="619"/>
      <c r="V613" s="619"/>
      <c r="W613" s="619"/>
      <c r="X613" s="619"/>
      <c r="Y613" s="619"/>
      <c r="Z613" s="619"/>
      <c r="AA613" s="619"/>
      <c r="AB613" s="311"/>
      <c r="AC613" s="313"/>
      <c r="AD613" s="313"/>
      <c r="AE613" s="313"/>
      <c r="AF613" s="313"/>
      <c r="AG613" s="313"/>
      <c r="AH613" s="313"/>
      <c r="AI613" s="313"/>
      <c r="AJ613" s="313"/>
      <c r="AK613" s="313"/>
      <c r="AL613" s="313"/>
      <c r="AM613" s="313"/>
      <c r="AN613" s="313"/>
      <c r="AO613" s="313"/>
      <c r="AP613" s="163"/>
    </row>
    <row r="614" spans="2:42" x14ac:dyDescent="0.3">
      <c r="B614" s="6"/>
      <c r="C614" s="6"/>
      <c r="D614" s="6">
        <f t="shared" si="41"/>
        <v>15</v>
      </c>
      <c r="E614" s="641" t="str">
        <f t="shared" si="43"/>
        <v>Total ESS Charge MWh</v>
      </c>
      <c r="F614" s="303"/>
      <c r="G614" s="303"/>
      <c r="H614" s="310"/>
      <c r="I614" s="308">
        <v>4294.1176470588134</v>
      </c>
      <c r="J614" s="308">
        <v>4294.1176469621842</v>
      </c>
      <c r="K614" s="308">
        <v>4294.1176441906118</v>
      </c>
      <c r="L614" s="618">
        <v>4294.1176470588507</v>
      </c>
      <c r="M614" s="618">
        <v>4294.1176395854391</v>
      </c>
      <c r="N614" s="618">
        <v>4294.1176399013648</v>
      </c>
      <c r="O614" s="618">
        <v>4294.1176402172896</v>
      </c>
      <c r="P614" s="618">
        <v>4294.1176405332153</v>
      </c>
      <c r="Q614" s="618">
        <v>4294.1176408491401</v>
      </c>
      <c r="R614" s="618">
        <v>4294.1176411650658</v>
      </c>
      <c r="S614" s="618">
        <v>4294.1176423540292</v>
      </c>
      <c r="T614" s="618">
        <v>4294.1176435429925</v>
      </c>
      <c r="U614" s="618">
        <v>4294.1176447319567</v>
      </c>
      <c r="V614" s="618">
        <v>4294.11764592092</v>
      </c>
      <c r="W614" s="618">
        <v>4294.1176471098834</v>
      </c>
      <c r="X614" s="618">
        <v>4294.1176470358832</v>
      </c>
      <c r="Y614" s="618">
        <v>4294.1176469618831</v>
      </c>
      <c r="Z614" s="618">
        <v>4294.117646887883</v>
      </c>
      <c r="AA614" s="618">
        <v>4294.1176468138829</v>
      </c>
      <c r="AB614" s="308">
        <v>4294.1176467398827</v>
      </c>
      <c r="AC614" s="309"/>
      <c r="AD614" s="309"/>
      <c r="AE614" s="309"/>
      <c r="AF614" s="309"/>
      <c r="AG614" s="309"/>
      <c r="AH614" s="309"/>
      <c r="AI614" s="309"/>
      <c r="AJ614" s="309"/>
      <c r="AK614" s="309"/>
      <c r="AL614" s="309"/>
      <c r="AM614" s="309"/>
      <c r="AN614" s="309"/>
      <c r="AO614" s="309"/>
      <c r="AP614" s="163"/>
    </row>
    <row r="615" spans="2:42" x14ac:dyDescent="0.3">
      <c r="B615" s="6"/>
      <c r="C615" s="6"/>
      <c r="D615" s="6">
        <f t="shared" si="41"/>
        <v>15</v>
      </c>
      <c r="E615" s="642" t="str">
        <f t="shared" si="43"/>
        <v>Avg Generation Capacity</v>
      </c>
      <c r="F615" s="303"/>
      <c r="G615" s="303"/>
      <c r="H615" s="310"/>
      <c r="I615" s="308">
        <v>0</v>
      </c>
      <c r="J615" s="308">
        <v>6.2500000000000001E-4</v>
      </c>
      <c r="K615" s="308">
        <v>0</v>
      </c>
      <c r="L615" s="308">
        <v>0</v>
      </c>
      <c r="M615" s="308">
        <v>0</v>
      </c>
      <c r="N615" s="308">
        <v>0</v>
      </c>
      <c r="O615" s="308">
        <v>0</v>
      </c>
      <c r="P615" s="308">
        <v>0</v>
      </c>
      <c r="Q615" s="308">
        <v>0</v>
      </c>
      <c r="R615" s="308">
        <v>0</v>
      </c>
      <c r="S615" s="308">
        <v>0</v>
      </c>
      <c r="T615" s="308">
        <v>0</v>
      </c>
      <c r="U615" s="308">
        <v>0</v>
      </c>
      <c r="V615" s="308">
        <v>0</v>
      </c>
      <c r="W615" s="308">
        <v>0</v>
      </c>
      <c r="X615" s="308">
        <v>0</v>
      </c>
      <c r="Y615" s="308">
        <v>0</v>
      </c>
      <c r="Z615" s="308">
        <v>0</v>
      </c>
      <c r="AA615" s="308">
        <v>0</v>
      </c>
      <c r="AB615" s="308">
        <v>0</v>
      </c>
      <c r="AC615" s="309"/>
      <c r="AD615" s="309"/>
      <c r="AE615" s="309"/>
      <c r="AF615" s="309"/>
      <c r="AG615" s="309"/>
      <c r="AH615" s="309"/>
      <c r="AI615" s="309"/>
      <c r="AJ615" s="309"/>
      <c r="AK615" s="309"/>
      <c r="AL615" s="309"/>
      <c r="AM615" s="309"/>
      <c r="AN615" s="309"/>
      <c r="AO615" s="309"/>
      <c r="AP615" s="163"/>
    </row>
    <row r="616" spans="2:42" x14ac:dyDescent="0.3">
      <c r="B616" s="6"/>
      <c r="C616" s="6"/>
      <c r="D616" s="6">
        <f t="shared" si="41"/>
        <v>15</v>
      </c>
      <c r="E616" s="642" t="str">
        <f t="shared" si="43"/>
        <v>Avg Transmission Capacity</v>
      </c>
      <c r="F616" s="303"/>
      <c r="G616" s="303"/>
      <c r="H616" s="310"/>
      <c r="I616" s="308">
        <v>0</v>
      </c>
      <c r="J616" s="308">
        <v>6.2500000000000001E-4</v>
      </c>
      <c r="K616" s="308">
        <v>0</v>
      </c>
      <c r="L616" s="308">
        <v>0</v>
      </c>
      <c r="M616" s="308">
        <v>0</v>
      </c>
      <c r="N616" s="308">
        <v>0</v>
      </c>
      <c r="O616" s="308">
        <v>0</v>
      </c>
      <c r="P616" s="308">
        <v>0</v>
      </c>
      <c r="Q616" s="308">
        <v>0</v>
      </c>
      <c r="R616" s="308">
        <v>0</v>
      </c>
      <c r="S616" s="308">
        <v>0</v>
      </c>
      <c r="T616" s="308">
        <v>0</v>
      </c>
      <c r="U616" s="308">
        <v>0</v>
      </c>
      <c r="V616" s="308">
        <v>0</v>
      </c>
      <c r="W616" s="308">
        <v>0</v>
      </c>
      <c r="X616" s="308">
        <v>0</v>
      </c>
      <c r="Y616" s="308">
        <v>0</v>
      </c>
      <c r="Z616" s="308">
        <v>0</v>
      </c>
      <c r="AA616" s="308">
        <v>0</v>
      </c>
      <c r="AB616" s="308">
        <v>0</v>
      </c>
      <c r="AC616" s="309"/>
      <c r="AD616" s="309"/>
      <c r="AE616" s="309"/>
      <c r="AF616" s="309"/>
      <c r="AG616" s="309"/>
      <c r="AH616" s="309"/>
      <c r="AI616" s="309"/>
      <c r="AJ616" s="309"/>
      <c r="AK616" s="309"/>
      <c r="AL616" s="309"/>
      <c r="AM616" s="309"/>
      <c r="AN616" s="309"/>
      <c r="AO616" s="309"/>
      <c r="AP616" s="163"/>
    </row>
    <row r="617" spans="2:42" x14ac:dyDescent="0.3">
      <c r="B617" s="6"/>
      <c r="C617" s="6"/>
      <c r="D617" s="6">
        <f t="shared" si="41"/>
        <v>15</v>
      </c>
      <c r="E617" s="642" t="str">
        <f t="shared" si="43"/>
        <v>Avg Distribution Capacity</v>
      </c>
      <c r="F617" s="303"/>
      <c r="G617" s="303"/>
      <c r="H617" s="310"/>
      <c r="I617" s="308">
        <v>0</v>
      </c>
      <c r="J617" s="308">
        <v>0</v>
      </c>
      <c r="K617" s="308">
        <v>9.8039215686274491E-3</v>
      </c>
      <c r="L617" s="618">
        <v>2.1693045781865619E-3</v>
      </c>
      <c r="M617" s="618">
        <v>0</v>
      </c>
      <c r="N617" s="618">
        <v>0</v>
      </c>
      <c r="O617" s="618">
        <v>0</v>
      </c>
      <c r="P617" s="618">
        <v>0</v>
      </c>
      <c r="Q617" s="618">
        <v>0</v>
      </c>
      <c r="R617" s="618">
        <v>0</v>
      </c>
      <c r="S617" s="618">
        <v>7.5000000000000002E-4</v>
      </c>
      <c r="T617" s="618">
        <v>1.5E-3</v>
      </c>
      <c r="U617" s="618">
        <v>2.2499999999999998E-3</v>
      </c>
      <c r="V617" s="618">
        <v>2.5000000000000001E-3</v>
      </c>
      <c r="W617" s="618">
        <v>3.1250000000000002E-3</v>
      </c>
      <c r="X617" s="618">
        <v>6.6666666666666671E-3</v>
      </c>
      <c r="Y617" s="618">
        <v>1.0208333333333335E-2</v>
      </c>
      <c r="Z617" s="618">
        <v>1.375E-2</v>
      </c>
      <c r="AA617" s="618">
        <v>1.7291666666666667E-2</v>
      </c>
      <c r="AB617" s="308">
        <v>2.0833333333333332E-2</v>
      </c>
      <c r="AC617" s="309"/>
      <c r="AD617" s="309"/>
      <c r="AE617" s="309"/>
      <c r="AF617" s="309"/>
      <c r="AG617" s="309"/>
      <c r="AH617" s="309"/>
      <c r="AI617" s="309"/>
      <c r="AJ617" s="309"/>
      <c r="AK617" s="309"/>
      <c r="AL617" s="309"/>
      <c r="AM617" s="309"/>
      <c r="AN617" s="309"/>
      <c r="AO617" s="309"/>
      <c r="AP617" s="163"/>
    </row>
    <row r="618" spans="2:42" x14ac:dyDescent="0.3">
      <c r="B618" s="6"/>
      <c r="C618" s="6"/>
      <c r="D618" s="6">
        <f t="shared" si="41"/>
        <v>15</v>
      </c>
      <c r="E618" s="642" t="str">
        <f t="shared" si="43"/>
        <v>GHG Impacts</v>
      </c>
      <c r="F618" s="303"/>
      <c r="G618" s="303"/>
      <c r="H618" s="310"/>
      <c r="I618" s="308">
        <v>4291.3548933684779</v>
      </c>
      <c r="J618" s="308">
        <v>4271.8882118443044</v>
      </c>
      <c r="K618" s="308">
        <v>4227.0878415400293</v>
      </c>
      <c r="L618" s="618">
        <v>4080.7102182737949</v>
      </c>
      <c r="M618" s="618">
        <v>3788.1272453865977</v>
      </c>
      <c r="N618" s="618">
        <v>3482.3866036017212</v>
      </c>
      <c r="O618" s="618">
        <v>3176.6459618168446</v>
      </c>
      <c r="P618" s="618">
        <v>2870.9053200319677</v>
      </c>
      <c r="Q618" s="618">
        <v>2565.1646782470912</v>
      </c>
      <c r="R618" s="618">
        <v>2259.4240364622146</v>
      </c>
      <c r="S618" s="618">
        <v>2091.517678170746</v>
      </c>
      <c r="T618" s="618">
        <v>1923.6113198792777</v>
      </c>
      <c r="U618" s="618">
        <v>1755.7049615878091</v>
      </c>
      <c r="V618" s="618">
        <v>1587.7986032963406</v>
      </c>
      <c r="W618" s="618">
        <v>1419.8922450048722</v>
      </c>
      <c r="X618" s="618">
        <v>1279.7844091979798</v>
      </c>
      <c r="Y618" s="618">
        <v>1139.6765733910875</v>
      </c>
      <c r="Z618" s="618">
        <v>999.56873758419488</v>
      </c>
      <c r="AA618" s="618">
        <v>859.46090177730252</v>
      </c>
      <c r="AB618" s="308">
        <v>719.35306597041017</v>
      </c>
      <c r="AC618" s="309"/>
      <c r="AD618" s="309"/>
      <c r="AE618" s="309"/>
      <c r="AF618" s="309"/>
      <c r="AG618" s="309"/>
      <c r="AH618" s="309"/>
      <c r="AI618" s="309"/>
      <c r="AJ618" s="309"/>
      <c r="AK618" s="309"/>
      <c r="AL618" s="309"/>
      <c r="AM618" s="309"/>
      <c r="AN618" s="309"/>
      <c r="AO618" s="309"/>
      <c r="AP618" s="163"/>
    </row>
    <row r="619" spans="2:42" x14ac:dyDescent="0.3">
      <c r="B619" s="6"/>
      <c r="C619" s="6"/>
      <c r="D619" s="6">
        <f t="shared" si="41"/>
        <v>15</v>
      </c>
      <c r="E619" s="642" t="str">
        <f t="shared" si="43"/>
        <v>Market Price Effects - Wholesale Energy</v>
      </c>
      <c r="F619" s="303"/>
      <c r="G619" s="303"/>
      <c r="H619" s="310"/>
      <c r="I619" s="308">
        <v>4294.1176470588243</v>
      </c>
      <c r="J619" s="308">
        <v>4294.1176469621705</v>
      </c>
      <c r="K619" s="308">
        <v>4294.1176441906136</v>
      </c>
      <c r="L619" s="618">
        <v>4294.1176470588398</v>
      </c>
      <c r="M619" s="618">
        <v>4294.1176395854382</v>
      </c>
      <c r="N619" s="618">
        <v>4294.1176399013611</v>
      </c>
      <c r="O619" s="618">
        <v>4294.1176402172841</v>
      </c>
      <c r="P619" s="618">
        <v>4294.117640533208</v>
      </c>
      <c r="Q619" s="618">
        <v>4294.117640849131</v>
      </c>
      <c r="R619" s="618">
        <v>4294.117641165054</v>
      </c>
      <c r="S619" s="618">
        <v>4294.1176423540164</v>
      </c>
      <c r="T619" s="618">
        <v>4294.1176435429788</v>
      </c>
      <c r="U619" s="618">
        <v>4294.1176447319422</v>
      </c>
      <c r="V619" s="618">
        <v>4294.1176459209046</v>
      </c>
      <c r="W619" s="618">
        <v>4294.117647109867</v>
      </c>
      <c r="X619" s="618">
        <v>4294.1176470358687</v>
      </c>
      <c r="Y619" s="618">
        <v>4294.1176469618713</v>
      </c>
      <c r="Z619" s="618">
        <v>4294.117646887873</v>
      </c>
      <c r="AA619" s="618">
        <v>4294.1176468138756</v>
      </c>
      <c r="AB619" s="308">
        <v>4294.1176467398773</v>
      </c>
      <c r="AC619" s="309"/>
      <c r="AD619" s="309"/>
      <c r="AE619" s="309"/>
      <c r="AF619" s="309"/>
      <c r="AG619" s="309"/>
      <c r="AH619" s="309"/>
      <c r="AI619" s="309"/>
      <c r="AJ619" s="309"/>
      <c r="AK619" s="309"/>
      <c r="AL619" s="309"/>
      <c r="AM619" s="309"/>
      <c r="AN619" s="309"/>
      <c r="AO619" s="309"/>
      <c r="AP619" s="163"/>
    </row>
    <row r="620" spans="2:42" x14ac:dyDescent="0.3">
      <c r="B620" s="6"/>
      <c r="C620" s="6"/>
      <c r="D620" s="6">
        <f t="shared" si="41"/>
        <v>15</v>
      </c>
      <c r="E620" s="643" t="str">
        <f t="shared" si="43"/>
        <v>Market Price Effects - Wholesale Capacity</v>
      </c>
      <c r="F620" s="303"/>
      <c r="I620" s="308">
        <v>0</v>
      </c>
      <c r="J620" s="308">
        <v>0</v>
      </c>
      <c r="K620" s="308">
        <v>0</v>
      </c>
      <c r="L620" s="618">
        <v>0</v>
      </c>
      <c r="M620" s="618">
        <v>0</v>
      </c>
      <c r="N620" s="618">
        <v>0</v>
      </c>
      <c r="O620" s="618">
        <v>0</v>
      </c>
      <c r="P620" s="618">
        <v>0</v>
      </c>
      <c r="Q620" s="618">
        <v>0</v>
      </c>
      <c r="R620" s="618">
        <v>0</v>
      </c>
      <c r="S620" s="618">
        <v>0</v>
      </c>
      <c r="T620" s="618">
        <v>0</v>
      </c>
      <c r="U620" s="618">
        <v>0</v>
      </c>
      <c r="V620" s="618">
        <v>0</v>
      </c>
      <c r="W620" s="618">
        <v>0</v>
      </c>
      <c r="X620" s="618">
        <v>0</v>
      </c>
      <c r="Y620" s="618">
        <v>0</v>
      </c>
      <c r="Z620" s="618">
        <v>0</v>
      </c>
      <c r="AA620" s="618">
        <v>0</v>
      </c>
      <c r="AB620" s="308">
        <v>0</v>
      </c>
      <c r="AC620" s="309"/>
      <c r="AD620" s="309"/>
      <c r="AE620" s="309"/>
      <c r="AF620" s="309"/>
      <c r="AG620" s="309"/>
      <c r="AH620" s="309"/>
      <c r="AI620" s="309"/>
      <c r="AJ620" s="309"/>
      <c r="AK620" s="309"/>
      <c r="AL620" s="309"/>
      <c r="AM620" s="309"/>
      <c r="AN620" s="309"/>
      <c r="AO620" s="309"/>
      <c r="AP620" s="163"/>
    </row>
    <row r="621" spans="2:42" x14ac:dyDescent="0.3">
      <c r="B621" s="6"/>
      <c r="C621" s="6"/>
      <c r="D621" s="6">
        <f t="shared" si="41"/>
        <v>15</v>
      </c>
      <c r="E621" s="640" t="str">
        <f t="shared" si="43"/>
        <v>Disharge MWh</v>
      </c>
      <c r="I621" s="505"/>
      <c r="J621" s="505"/>
      <c r="K621" s="505"/>
      <c r="L621" s="505"/>
      <c r="M621" s="505"/>
      <c r="N621" s="505"/>
      <c r="O621" s="505"/>
      <c r="P621" s="505"/>
      <c r="Q621" s="505"/>
      <c r="R621" s="505"/>
      <c r="S621" s="505"/>
      <c r="T621" s="505"/>
      <c r="U621" s="505"/>
      <c r="V621" s="505"/>
      <c r="W621" s="505"/>
      <c r="X621" s="505"/>
      <c r="Y621" s="505"/>
      <c r="Z621" s="505"/>
      <c r="AA621" s="505"/>
      <c r="AB621" s="505"/>
      <c r="AC621" s="15"/>
      <c r="AD621" s="15"/>
      <c r="AE621" s="15"/>
      <c r="AF621" s="15"/>
      <c r="AG621" s="15"/>
      <c r="AH621" s="15"/>
      <c r="AI621" s="15"/>
      <c r="AJ621" s="15"/>
      <c r="AK621" s="15"/>
      <c r="AL621" s="15"/>
      <c r="AM621" s="15"/>
      <c r="AN621" s="15"/>
      <c r="AO621" s="15"/>
      <c r="AP621" s="163"/>
    </row>
    <row r="622" spans="2:42" x14ac:dyDescent="0.3">
      <c r="B622" s="6"/>
      <c r="C622" s="6"/>
      <c r="D622" s="6">
        <f t="shared" si="41"/>
        <v>15</v>
      </c>
      <c r="E622" s="641" t="str">
        <f t="shared" si="43"/>
        <v>Total ESS DCharge MWh</v>
      </c>
      <c r="I622" s="308">
        <v>3650.0000000885457</v>
      </c>
      <c r="J622" s="308">
        <v>3650.0000006430973</v>
      </c>
      <c r="K622" s="308">
        <v>3650.0000058712935</v>
      </c>
      <c r="L622" s="618">
        <v>3650.00000000002</v>
      </c>
      <c r="M622" s="618">
        <v>3650.0000000000027</v>
      </c>
      <c r="N622" s="618">
        <v>3649.9999998433377</v>
      </c>
      <c r="O622" s="618">
        <v>3649.9999996866732</v>
      </c>
      <c r="P622" s="618">
        <v>3649.9999995300082</v>
      </c>
      <c r="Q622" s="618">
        <v>3649.9999993733436</v>
      </c>
      <c r="R622" s="618">
        <v>3649.9999992166786</v>
      </c>
      <c r="S622" s="618">
        <v>3649.9999997535483</v>
      </c>
      <c r="T622" s="618">
        <v>3650.0000002904176</v>
      </c>
      <c r="U622" s="618">
        <v>3650.0000008272873</v>
      </c>
      <c r="V622" s="618">
        <v>3650.0000013641566</v>
      </c>
      <c r="W622" s="618">
        <v>3650.0000019010263</v>
      </c>
      <c r="X622" s="618">
        <v>3650.0000017067687</v>
      </c>
      <c r="Y622" s="618">
        <v>3650.0000015125111</v>
      </c>
      <c r="Z622" s="618">
        <v>3650.0000013182539</v>
      </c>
      <c r="AA622" s="618">
        <v>3650.0000011239963</v>
      </c>
      <c r="AB622" s="308">
        <v>3650.0000009297387</v>
      </c>
      <c r="AC622" s="309"/>
      <c r="AD622" s="309"/>
      <c r="AE622" s="309"/>
      <c r="AF622" s="309"/>
      <c r="AG622" s="309"/>
      <c r="AH622" s="309"/>
      <c r="AI622" s="309"/>
      <c r="AJ622" s="309"/>
      <c r="AK622" s="309"/>
      <c r="AL622" s="309"/>
      <c r="AM622" s="309"/>
      <c r="AN622" s="309"/>
      <c r="AO622" s="309"/>
      <c r="AP622" s="163"/>
    </row>
    <row r="623" spans="2:42" x14ac:dyDescent="0.3">
      <c r="B623" s="6"/>
      <c r="C623" s="6"/>
      <c r="D623" s="6">
        <f t="shared" si="41"/>
        <v>15</v>
      </c>
      <c r="E623" s="642" t="str">
        <f t="shared" si="43"/>
        <v>Avg Generation Capacity</v>
      </c>
      <c r="F623" s="303"/>
      <c r="I623" s="308">
        <v>2.4962378647831738</v>
      </c>
      <c r="J623" s="308">
        <v>2.4999199430648043</v>
      </c>
      <c r="K623" s="308">
        <v>1.9999206252529849</v>
      </c>
      <c r="L623" s="618">
        <v>1.9998832089654208</v>
      </c>
      <c r="M623" s="618">
        <v>1.9993165504583237</v>
      </c>
      <c r="N623" s="618">
        <v>1.9993840446470394</v>
      </c>
      <c r="O623" s="618">
        <v>1.9994515388357552</v>
      </c>
      <c r="P623" s="618">
        <v>1.999519033024471</v>
      </c>
      <c r="Q623" s="618">
        <v>1.9995865272131867</v>
      </c>
      <c r="R623" s="618">
        <v>1.9996540214019027</v>
      </c>
      <c r="S623" s="618">
        <v>1.9996768930892863</v>
      </c>
      <c r="T623" s="618">
        <v>1.9996997647766701</v>
      </c>
      <c r="U623" s="618">
        <v>1.9997226364640541</v>
      </c>
      <c r="V623" s="618">
        <v>1.6664545901261982</v>
      </c>
      <c r="W623" s="618">
        <v>1.6664736498656849</v>
      </c>
      <c r="X623" s="618">
        <v>1.6664707108507781</v>
      </c>
      <c r="Y623" s="618">
        <v>1.6664677718358716</v>
      </c>
      <c r="Z623" s="618">
        <v>1.6664648328209646</v>
      </c>
      <c r="AA623" s="618">
        <v>1.666461893806058</v>
      </c>
      <c r="AB623" s="308">
        <v>1.6664589547911512</v>
      </c>
      <c r="AC623" s="309"/>
      <c r="AD623" s="309"/>
      <c r="AE623" s="309"/>
      <c r="AF623" s="309"/>
      <c r="AG623" s="309"/>
      <c r="AH623" s="309"/>
      <c r="AI623" s="309"/>
      <c r="AJ623" s="309"/>
      <c r="AK623" s="309"/>
      <c r="AL623" s="309"/>
      <c r="AM623" s="309"/>
      <c r="AN623" s="309"/>
      <c r="AO623" s="309"/>
      <c r="AP623" s="163"/>
    </row>
    <row r="624" spans="2:42" x14ac:dyDescent="0.3">
      <c r="B624" s="6"/>
      <c r="C624" s="6"/>
      <c r="D624" s="6">
        <f t="shared" si="41"/>
        <v>15</v>
      </c>
      <c r="E624" s="642" t="str">
        <f t="shared" si="43"/>
        <v>Avg Transmission Capacity</v>
      </c>
      <c r="F624" s="303"/>
      <c r="I624" s="308">
        <v>2.4962378647831738</v>
      </c>
      <c r="J624" s="308">
        <v>2.4999199430648043</v>
      </c>
      <c r="K624" s="308">
        <v>1.9999206252529849</v>
      </c>
      <c r="L624" s="618">
        <v>1.9998832089654208</v>
      </c>
      <c r="M624" s="618">
        <v>1.9993165504583237</v>
      </c>
      <c r="N624" s="618">
        <v>1.9993840446470394</v>
      </c>
      <c r="O624" s="618">
        <v>1.9994515388357552</v>
      </c>
      <c r="P624" s="618">
        <v>1.999519033024471</v>
      </c>
      <c r="Q624" s="618">
        <v>1.9995865272131867</v>
      </c>
      <c r="R624" s="618">
        <v>1.9996540214019027</v>
      </c>
      <c r="S624" s="618">
        <v>1.9996768930892863</v>
      </c>
      <c r="T624" s="618">
        <v>1.9996997647766701</v>
      </c>
      <c r="U624" s="618">
        <v>1.9997226364640541</v>
      </c>
      <c r="V624" s="618">
        <v>1.6664545901261982</v>
      </c>
      <c r="W624" s="618">
        <v>1.6664736498656849</v>
      </c>
      <c r="X624" s="618">
        <v>1.6664707108507781</v>
      </c>
      <c r="Y624" s="618">
        <v>1.6664677718358716</v>
      </c>
      <c r="Z624" s="618">
        <v>1.6664648328209646</v>
      </c>
      <c r="AA624" s="618">
        <v>1.666461893806058</v>
      </c>
      <c r="AB624" s="308">
        <v>1.6664589547911512</v>
      </c>
      <c r="AC624" s="309"/>
      <c r="AD624" s="309"/>
      <c r="AE624" s="309"/>
      <c r="AF624" s="309"/>
      <c r="AG624" s="309"/>
      <c r="AH624" s="309"/>
      <c r="AI624" s="309"/>
      <c r="AJ624" s="309"/>
      <c r="AK624" s="309"/>
      <c r="AL624" s="309"/>
      <c r="AM624" s="309"/>
      <c r="AN624" s="309"/>
      <c r="AO624" s="309"/>
      <c r="AP624" s="163"/>
    </row>
    <row r="625" spans="2:42" x14ac:dyDescent="0.3">
      <c r="B625" s="6"/>
      <c r="C625" s="6"/>
      <c r="D625" s="6">
        <f t="shared" si="41"/>
        <v>15</v>
      </c>
      <c r="E625" s="642" t="str">
        <f t="shared" si="43"/>
        <v>Avg Distribution Capacity</v>
      </c>
      <c r="F625" s="303"/>
      <c r="I625" s="308">
        <v>2.3715967178981763</v>
      </c>
      <c r="J625" s="308">
        <v>2.4296538826559959</v>
      </c>
      <c r="K625" s="308">
        <v>1.9965759286680658</v>
      </c>
      <c r="L625" s="618">
        <v>1.9746273730701354</v>
      </c>
      <c r="M625" s="618">
        <v>1.9991735224455085</v>
      </c>
      <c r="N625" s="618">
        <v>1.9992622889037341</v>
      </c>
      <c r="O625" s="618">
        <v>1.99935105536196</v>
      </c>
      <c r="P625" s="618">
        <v>1.9994398218201856</v>
      </c>
      <c r="Q625" s="618">
        <v>1.9995285882784117</v>
      </c>
      <c r="R625" s="618">
        <v>1.9996173547366374</v>
      </c>
      <c r="S625" s="618">
        <v>1.9896432013540948</v>
      </c>
      <c r="T625" s="618">
        <v>1.9796690479715522</v>
      </c>
      <c r="U625" s="618">
        <v>1.9696948945890094</v>
      </c>
      <c r="V625" s="618">
        <v>1.6331006176720557</v>
      </c>
      <c r="W625" s="618">
        <v>1.6247888231866034</v>
      </c>
      <c r="X625" s="618">
        <v>1.6035653673193015</v>
      </c>
      <c r="Y625" s="618">
        <v>1.5823419114519999</v>
      </c>
      <c r="Z625" s="618">
        <v>1.5611184555846978</v>
      </c>
      <c r="AA625" s="618">
        <v>1.5398949997173961</v>
      </c>
      <c r="AB625" s="308">
        <v>1.518671543850094</v>
      </c>
      <c r="AC625" s="309"/>
      <c r="AD625" s="309"/>
      <c r="AE625" s="309"/>
      <c r="AF625" s="309"/>
      <c r="AG625" s="309"/>
      <c r="AH625" s="309"/>
      <c r="AI625" s="309"/>
      <c r="AJ625" s="309"/>
      <c r="AK625" s="309"/>
      <c r="AL625" s="309"/>
      <c r="AM625" s="309"/>
      <c r="AN625" s="309"/>
      <c r="AO625" s="309"/>
      <c r="AP625" s="163"/>
    </row>
    <row r="626" spans="2:42" x14ac:dyDescent="0.3">
      <c r="B626" s="6"/>
      <c r="C626" s="6"/>
      <c r="D626" s="6">
        <f t="shared" si="41"/>
        <v>15</v>
      </c>
      <c r="E626" s="642" t="str">
        <f t="shared" si="43"/>
        <v>GHG Impacts</v>
      </c>
      <c r="F626" s="303"/>
      <c r="I626" s="308">
        <v>3650.0000000885384</v>
      </c>
      <c r="J626" s="308">
        <v>3650.0000006431123</v>
      </c>
      <c r="K626" s="308">
        <v>3650.0000058712976</v>
      </c>
      <c r="L626" s="618">
        <v>3650.0000000000136</v>
      </c>
      <c r="M626" s="618">
        <v>3649.1672235683322</v>
      </c>
      <c r="N626" s="618">
        <v>3648.9836279371339</v>
      </c>
      <c r="O626" s="618">
        <v>3648.800032305935</v>
      </c>
      <c r="P626" s="618">
        <v>3648.6164366747366</v>
      </c>
      <c r="Q626" s="618">
        <v>3648.4328410435378</v>
      </c>
      <c r="R626" s="618">
        <v>3648.2492454123394</v>
      </c>
      <c r="S626" s="618">
        <v>3644.7549651096697</v>
      </c>
      <c r="T626" s="618">
        <v>3641.2606848070004</v>
      </c>
      <c r="U626" s="618">
        <v>3637.7664045043307</v>
      </c>
      <c r="V626" s="618">
        <v>3634.2721242016614</v>
      </c>
      <c r="W626" s="618">
        <v>3630.7778438989917</v>
      </c>
      <c r="X626" s="618">
        <v>3625.9725982013661</v>
      </c>
      <c r="Y626" s="618">
        <v>3621.1673525037409</v>
      </c>
      <c r="Z626" s="618">
        <v>3616.3621068061152</v>
      </c>
      <c r="AA626" s="618">
        <v>3611.55686110849</v>
      </c>
      <c r="AB626" s="308">
        <v>3606.7516154108644</v>
      </c>
      <c r="AC626" s="309"/>
      <c r="AD626" s="309"/>
      <c r="AE626" s="309"/>
      <c r="AF626" s="309"/>
      <c r="AG626" s="309"/>
      <c r="AH626" s="309"/>
      <c r="AI626" s="309"/>
      <c r="AJ626" s="309"/>
      <c r="AK626" s="309"/>
      <c r="AL626" s="309"/>
      <c r="AM626" s="309"/>
      <c r="AN626" s="309"/>
      <c r="AO626" s="309"/>
      <c r="AP626" s="163"/>
    </row>
    <row r="627" spans="2:42" x14ac:dyDescent="0.3">
      <c r="B627" s="6"/>
      <c r="C627" s="6"/>
      <c r="D627" s="6">
        <f t="shared" si="41"/>
        <v>15</v>
      </c>
      <c r="E627" s="642" t="str">
        <f t="shared" si="43"/>
        <v>Market Price Effects - Wholesale Energy</v>
      </c>
      <c r="F627" s="303"/>
      <c r="I627" s="308">
        <v>3650.0000000885384</v>
      </c>
      <c r="J627" s="308">
        <v>3650.0000006431119</v>
      </c>
      <c r="K627" s="308">
        <v>3650.0000058712976</v>
      </c>
      <c r="L627" s="618">
        <v>3650.0000000000136</v>
      </c>
      <c r="M627" s="618">
        <v>3650.0000000000032</v>
      </c>
      <c r="N627" s="618">
        <v>3649.9999998433391</v>
      </c>
      <c r="O627" s="618">
        <v>3649.999999686675</v>
      </c>
      <c r="P627" s="618">
        <v>3649.9999995300113</v>
      </c>
      <c r="Q627" s="618">
        <v>3649.9999993733472</v>
      </c>
      <c r="R627" s="618">
        <v>3649.9999992166831</v>
      </c>
      <c r="S627" s="618">
        <v>3649.9999997535533</v>
      </c>
      <c r="T627" s="618">
        <v>3650.0000002904239</v>
      </c>
      <c r="U627" s="618">
        <v>3650.0000008272941</v>
      </c>
      <c r="V627" s="618">
        <v>3650.0000013641647</v>
      </c>
      <c r="W627" s="618">
        <v>3650.0000019010349</v>
      </c>
      <c r="X627" s="618">
        <v>3650.0000017067759</v>
      </c>
      <c r="Y627" s="618">
        <v>3650.0000015125174</v>
      </c>
      <c r="Z627" s="618">
        <v>3650.0000013182585</v>
      </c>
      <c r="AA627" s="618">
        <v>3650.0000011239999</v>
      </c>
      <c r="AB627" s="308">
        <v>3650.000000929741</v>
      </c>
      <c r="AC627" s="309"/>
      <c r="AD627" s="309"/>
      <c r="AE627" s="309"/>
      <c r="AF627" s="309"/>
      <c r="AG627" s="309"/>
      <c r="AH627" s="309"/>
      <c r="AI627" s="309"/>
      <c r="AJ627" s="309"/>
      <c r="AK627" s="309"/>
      <c r="AL627" s="309"/>
      <c r="AM627" s="309"/>
      <c r="AN627" s="309"/>
      <c r="AO627" s="309"/>
      <c r="AP627" s="163"/>
    </row>
    <row r="628" spans="2:42" x14ac:dyDescent="0.3">
      <c r="B628" s="6"/>
      <c r="C628" s="6"/>
      <c r="D628" s="6">
        <f t="shared" si="41"/>
        <v>15</v>
      </c>
      <c r="E628" s="642" t="str">
        <f t="shared" si="43"/>
        <v>Market Price Effects - Wholesale Capacity</v>
      </c>
      <c r="F628" s="303"/>
      <c r="I628" s="308">
        <v>0</v>
      </c>
      <c r="J628" s="308">
        <v>0</v>
      </c>
      <c r="K628" s="308">
        <v>0</v>
      </c>
      <c r="L628" s="618">
        <v>0</v>
      </c>
      <c r="M628" s="618">
        <v>0</v>
      </c>
      <c r="N628" s="618">
        <v>0</v>
      </c>
      <c r="O628" s="618">
        <v>0</v>
      </c>
      <c r="P628" s="618">
        <v>0</v>
      </c>
      <c r="Q628" s="618">
        <v>0</v>
      </c>
      <c r="R628" s="618">
        <v>0</v>
      </c>
      <c r="S628" s="618">
        <v>0</v>
      </c>
      <c r="T628" s="618">
        <v>0</v>
      </c>
      <c r="U628" s="618">
        <v>0</v>
      </c>
      <c r="V628" s="618">
        <v>0</v>
      </c>
      <c r="W628" s="618">
        <v>0</v>
      </c>
      <c r="X628" s="618">
        <v>0</v>
      </c>
      <c r="Y628" s="618">
        <v>0</v>
      </c>
      <c r="Z628" s="618">
        <v>0</v>
      </c>
      <c r="AA628" s="618">
        <v>0</v>
      </c>
      <c r="AB628" s="308">
        <v>0</v>
      </c>
      <c r="AC628" s="309"/>
      <c r="AD628" s="309"/>
      <c r="AE628" s="309"/>
      <c r="AF628" s="309"/>
      <c r="AG628" s="309"/>
      <c r="AH628" s="309"/>
      <c r="AI628" s="309"/>
      <c r="AJ628" s="309"/>
      <c r="AK628" s="309"/>
      <c r="AL628" s="309"/>
      <c r="AM628" s="309"/>
      <c r="AN628" s="309"/>
      <c r="AO628" s="309"/>
      <c r="AP628" s="163"/>
    </row>
    <row r="629" spans="2:42" x14ac:dyDescent="0.3">
      <c r="B629" s="6"/>
      <c r="C629" s="6"/>
      <c r="D629" s="6">
        <f t="shared" si="41"/>
        <v>15</v>
      </c>
      <c r="E629" s="544"/>
      <c r="F629" s="545"/>
      <c r="G629" s="545"/>
      <c r="H629" s="545"/>
      <c r="I629" s="545"/>
      <c r="J629" s="545"/>
      <c r="K629" s="545"/>
      <c r="L629" s="545"/>
      <c r="M629" s="545"/>
      <c r="N629" s="545"/>
      <c r="O629" s="545"/>
      <c r="P629" s="545"/>
      <c r="Q629" s="545"/>
      <c r="R629" s="545"/>
      <c r="S629" s="545"/>
      <c r="T629" s="545"/>
      <c r="U629" s="545"/>
      <c r="V629" s="545"/>
      <c r="W629" s="545"/>
      <c r="X629" s="545"/>
      <c r="Y629" s="545"/>
      <c r="Z629" s="545"/>
      <c r="AA629" s="545"/>
      <c r="AB629" s="545"/>
      <c r="AC629" s="545"/>
      <c r="AD629" s="545"/>
      <c r="AE629" s="545"/>
      <c r="AF629" s="545"/>
      <c r="AG629" s="545"/>
      <c r="AH629" s="545"/>
      <c r="AI629" s="545"/>
      <c r="AJ629" s="545"/>
      <c r="AK629" s="545"/>
      <c r="AL629" s="545"/>
      <c r="AM629" s="545"/>
      <c r="AN629" s="545"/>
      <c r="AO629" s="545"/>
      <c r="AP629" s="543"/>
    </row>
    <row r="630" spans="2:42" ht="21" x14ac:dyDescent="0.4">
      <c r="B630" s="6"/>
      <c r="C630" s="6"/>
      <c r="D630" s="6">
        <f t="shared" si="41"/>
        <v>16</v>
      </c>
      <c r="E630" s="632" t="str">
        <f>_xlfn.CONCAT(revenueSimulationID," ",$D630,"|",INDEX(StdConfigDesc,$D630,$E$29))</f>
        <v>Case 16|FTM - Load Reducer (5 MW / 20 MWh)</v>
      </c>
      <c r="F630" s="633"/>
      <c r="G630" s="633"/>
      <c r="H630" s="633"/>
      <c r="I630" s="633"/>
      <c r="J630" s="633"/>
      <c r="K630" s="633"/>
      <c r="L630" s="633"/>
      <c r="M630" s="633"/>
      <c r="N630" s="633"/>
      <c r="O630" s="633"/>
      <c r="P630" s="633"/>
      <c r="Q630" s="633"/>
      <c r="R630" s="633"/>
      <c r="S630" s="633"/>
      <c r="T630" s="633"/>
      <c r="U630" s="633"/>
      <c r="V630" s="633"/>
      <c r="W630" s="633"/>
      <c r="X630" s="633"/>
      <c r="Y630" s="633"/>
      <c r="Z630" s="633"/>
      <c r="AA630" s="633"/>
      <c r="AB630" s="633"/>
      <c r="AC630" s="633"/>
      <c r="AD630" s="633"/>
      <c r="AE630" s="633"/>
      <c r="AF630" s="633"/>
      <c r="AG630" s="633"/>
      <c r="AH630" s="633"/>
      <c r="AI630" s="633"/>
      <c r="AJ630" s="633"/>
      <c r="AK630" s="633"/>
      <c r="AL630" s="633"/>
      <c r="AM630" s="633"/>
      <c r="AN630" s="633"/>
      <c r="AO630" s="633"/>
      <c r="AP630" s="634"/>
    </row>
    <row r="631" spans="2:42" ht="25.8" x14ac:dyDescent="0.5">
      <c r="B631" s="6"/>
      <c r="C631" s="6"/>
      <c r="D631" s="6">
        <f t="shared" si="41"/>
        <v>16</v>
      </c>
      <c r="E631" s="635"/>
      <c r="F631" s="2">
        <v>2025</v>
      </c>
      <c r="G631" s="2">
        <f>F631+1</f>
        <v>2026</v>
      </c>
      <c r="H631" s="2">
        <f t="shared" ref="H631:AO631" si="44">G631+1</f>
        <v>2027</v>
      </c>
      <c r="I631" s="2">
        <f t="shared" si="44"/>
        <v>2028</v>
      </c>
      <c r="J631" s="2">
        <f t="shared" si="44"/>
        <v>2029</v>
      </c>
      <c r="K631" s="2">
        <f t="shared" si="44"/>
        <v>2030</v>
      </c>
      <c r="L631" s="2">
        <f t="shared" si="44"/>
        <v>2031</v>
      </c>
      <c r="M631" s="2">
        <f t="shared" si="44"/>
        <v>2032</v>
      </c>
      <c r="N631" s="2">
        <f t="shared" si="44"/>
        <v>2033</v>
      </c>
      <c r="O631" s="2">
        <f t="shared" si="44"/>
        <v>2034</v>
      </c>
      <c r="P631" s="2">
        <f t="shared" si="44"/>
        <v>2035</v>
      </c>
      <c r="Q631" s="2">
        <f t="shared" si="44"/>
        <v>2036</v>
      </c>
      <c r="R631" s="2">
        <f t="shared" si="44"/>
        <v>2037</v>
      </c>
      <c r="S631" s="2">
        <f t="shared" si="44"/>
        <v>2038</v>
      </c>
      <c r="T631" s="2">
        <f t="shared" si="44"/>
        <v>2039</v>
      </c>
      <c r="U631" s="2">
        <f t="shared" si="44"/>
        <v>2040</v>
      </c>
      <c r="V631" s="2">
        <f t="shared" si="44"/>
        <v>2041</v>
      </c>
      <c r="W631" s="2">
        <f t="shared" si="44"/>
        <v>2042</v>
      </c>
      <c r="X631" s="2">
        <f t="shared" si="44"/>
        <v>2043</v>
      </c>
      <c r="Y631" s="2">
        <f t="shared" si="44"/>
        <v>2044</v>
      </c>
      <c r="Z631" s="2">
        <f t="shared" si="44"/>
        <v>2045</v>
      </c>
      <c r="AA631" s="2">
        <f t="shared" si="44"/>
        <v>2046</v>
      </c>
      <c r="AB631" s="2">
        <f t="shared" si="44"/>
        <v>2047</v>
      </c>
      <c r="AC631" s="2">
        <f t="shared" si="44"/>
        <v>2048</v>
      </c>
      <c r="AD631" s="2">
        <f t="shared" si="44"/>
        <v>2049</v>
      </c>
      <c r="AE631" s="2">
        <f t="shared" si="44"/>
        <v>2050</v>
      </c>
      <c r="AF631" s="2">
        <f t="shared" si="44"/>
        <v>2051</v>
      </c>
      <c r="AG631" s="2">
        <f t="shared" si="44"/>
        <v>2052</v>
      </c>
      <c r="AH631" s="2">
        <f t="shared" si="44"/>
        <v>2053</v>
      </c>
      <c r="AI631" s="2">
        <f t="shared" si="44"/>
        <v>2054</v>
      </c>
      <c r="AJ631" s="2">
        <f t="shared" si="44"/>
        <v>2055</v>
      </c>
      <c r="AK631" s="2">
        <f t="shared" si="44"/>
        <v>2056</v>
      </c>
      <c r="AL631" s="2">
        <f t="shared" si="44"/>
        <v>2057</v>
      </c>
      <c r="AM631" s="2">
        <f t="shared" si="44"/>
        <v>2058</v>
      </c>
      <c r="AN631" s="2">
        <f t="shared" si="44"/>
        <v>2059</v>
      </c>
      <c r="AO631" s="2">
        <f t="shared" si="44"/>
        <v>2060</v>
      </c>
      <c r="AP631" s="163"/>
    </row>
    <row r="632" spans="2:42" x14ac:dyDescent="0.3">
      <c r="B632" s="6"/>
      <c r="C632" s="6"/>
      <c r="D632" s="6">
        <f t="shared" si="41"/>
        <v>16</v>
      </c>
      <c r="E632" s="636" t="str">
        <f>E592</f>
        <v>Capacity - PJM Market</v>
      </c>
      <c r="F632" s="302"/>
      <c r="G632" s="302"/>
      <c r="H632" s="302"/>
      <c r="I632" s="302">
        <v>0</v>
      </c>
      <c r="J632" s="302">
        <v>0</v>
      </c>
      <c r="K632" s="302">
        <v>0</v>
      </c>
      <c r="L632" s="302">
        <v>0</v>
      </c>
      <c r="M632" s="302">
        <v>0</v>
      </c>
      <c r="N632" s="302">
        <v>0</v>
      </c>
      <c r="O632" s="302">
        <v>0</v>
      </c>
      <c r="P632" s="302">
        <v>0</v>
      </c>
      <c r="Q632" s="302">
        <v>0</v>
      </c>
      <c r="R632" s="302">
        <v>0</v>
      </c>
      <c r="S632" s="302">
        <v>0</v>
      </c>
      <c r="T632" s="302">
        <v>0</v>
      </c>
      <c r="U632" s="302">
        <v>0</v>
      </c>
      <c r="V632" s="302">
        <v>0</v>
      </c>
      <c r="W632" s="302">
        <v>0</v>
      </c>
      <c r="X632" s="302">
        <v>0</v>
      </c>
      <c r="Y632" s="302">
        <v>0</v>
      </c>
      <c r="Z632" s="302">
        <v>0</v>
      </c>
      <c r="AA632" s="302">
        <v>0</v>
      </c>
      <c r="AB632" s="302">
        <v>0</v>
      </c>
      <c r="AC632" s="302">
        <v>0</v>
      </c>
      <c r="AD632" s="302">
        <v>0</v>
      </c>
      <c r="AE632" s="302">
        <v>0</v>
      </c>
      <c r="AF632" s="302">
        <v>0</v>
      </c>
      <c r="AG632" s="302">
        <v>0</v>
      </c>
      <c r="AH632" s="302">
        <v>0</v>
      </c>
      <c r="AI632" s="302">
        <v>0</v>
      </c>
      <c r="AJ632" s="302">
        <v>0</v>
      </c>
      <c r="AK632" s="302">
        <v>0</v>
      </c>
      <c r="AL632" s="302">
        <v>0</v>
      </c>
      <c r="AM632" s="302">
        <v>0</v>
      </c>
      <c r="AN632" s="302">
        <v>0</v>
      </c>
      <c r="AO632" s="302">
        <v>0</v>
      </c>
      <c r="AP632" s="163"/>
    </row>
    <row r="633" spans="2:42" x14ac:dyDescent="0.3">
      <c r="B633" s="6"/>
      <c r="C633" s="6"/>
      <c r="D633" s="6">
        <f t="shared" si="41"/>
        <v>16</v>
      </c>
      <c r="E633" s="636" t="str">
        <f t="shared" ref="E633:E668" si="45">E593</f>
        <v>Energy Arbitrage - PJM Market</v>
      </c>
      <c r="F633" s="303"/>
      <c r="G633" s="304"/>
      <c r="H633" s="304"/>
      <c r="I633" s="304">
        <v>0</v>
      </c>
      <c r="J633" s="304">
        <v>0</v>
      </c>
      <c r="K633" s="304">
        <v>0</v>
      </c>
      <c r="L633" s="304">
        <v>0</v>
      </c>
      <c r="M633" s="304">
        <v>0</v>
      </c>
      <c r="N633" s="304">
        <v>0</v>
      </c>
      <c r="O633" s="304">
        <v>0</v>
      </c>
      <c r="P633" s="304">
        <v>0</v>
      </c>
      <c r="Q633" s="304">
        <v>0</v>
      </c>
      <c r="R633" s="304">
        <v>0</v>
      </c>
      <c r="S633" s="304">
        <v>0</v>
      </c>
      <c r="T633" s="304">
        <v>0</v>
      </c>
      <c r="U633" s="304">
        <v>0</v>
      </c>
      <c r="V633" s="304">
        <v>0</v>
      </c>
      <c r="W633" s="304">
        <v>0</v>
      </c>
      <c r="X633" s="304">
        <v>0</v>
      </c>
      <c r="Y633" s="304">
        <v>0</v>
      </c>
      <c r="Z633" s="304">
        <v>0</v>
      </c>
      <c r="AA633" s="304">
        <v>0</v>
      </c>
      <c r="AB633" s="304">
        <v>0</v>
      </c>
      <c r="AC633" s="304"/>
      <c r="AD633" s="304"/>
      <c r="AE633" s="304"/>
      <c r="AF633" s="304"/>
      <c r="AG633" s="304"/>
      <c r="AH633" s="304"/>
      <c r="AI633" s="304"/>
      <c r="AJ633" s="304"/>
      <c r="AK633" s="304"/>
      <c r="AL633" s="304"/>
      <c r="AM633" s="304"/>
      <c r="AN633" s="304"/>
      <c r="AO633" s="304"/>
      <c r="AP633" s="163"/>
    </row>
    <row r="634" spans="2:42" x14ac:dyDescent="0.3">
      <c r="B634" s="6"/>
      <c r="C634" s="6"/>
      <c r="D634" s="6">
        <f t="shared" si="41"/>
        <v>16</v>
      </c>
      <c r="E634" s="636" t="str">
        <f t="shared" si="45"/>
        <v>Spin- PJM Market</v>
      </c>
      <c r="F634" s="303"/>
      <c r="G634" s="304"/>
      <c r="H634" s="304"/>
      <c r="I634" s="304">
        <v>47935.277811834872</v>
      </c>
      <c r="J634" s="304">
        <v>45613.095991477458</v>
      </c>
      <c r="K634" s="304">
        <v>49664.687675497466</v>
      </c>
      <c r="L634" s="304">
        <v>45999.357603761913</v>
      </c>
      <c r="M634" s="304">
        <v>42374.054104928</v>
      </c>
      <c r="N634" s="304">
        <v>43119.832656591025</v>
      </c>
      <c r="O634" s="304">
        <v>43865.611208254049</v>
      </c>
      <c r="P634" s="304">
        <v>44611.389759917067</v>
      </c>
      <c r="Q634" s="304">
        <v>45357.168311580092</v>
      </c>
      <c r="R634" s="304">
        <v>46102.946863243116</v>
      </c>
      <c r="S634" s="304">
        <v>48051.716769835199</v>
      </c>
      <c r="T634" s="304">
        <v>50000.486676427281</v>
      </c>
      <c r="U634" s="304">
        <v>51949.256583019363</v>
      </c>
      <c r="V634" s="304">
        <v>53898.026489611439</v>
      </c>
      <c r="W634" s="304">
        <v>55846.796396203521</v>
      </c>
      <c r="X634" s="304">
        <v>57662.483653851828</v>
      </c>
      <c r="Y634" s="304">
        <v>59478.170911500143</v>
      </c>
      <c r="Z634" s="304">
        <v>61293.858169148451</v>
      </c>
      <c r="AA634" s="304">
        <v>63109.545426796765</v>
      </c>
      <c r="AB634" s="304">
        <v>64925.232684445073</v>
      </c>
      <c r="AC634" s="304"/>
      <c r="AD634" s="304"/>
      <c r="AE634" s="304"/>
      <c r="AF634" s="304"/>
      <c r="AG634" s="304"/>
      <c r="AH634" s="304"/>
      <c r="AI634" s="304"/>
      <c r="AJ634" s="304"/>
      <c r="AK634" s="304"/>
      <c r="AL634" s="304"/>
      <c r="AM634" s="304"/>
      <c r="AN634" s="304"/>
      <c r="AO634" s="304"/>
      <c r="AP634" s="163"/>
    </row>
    <row r="635" spans="2:42" x14ac:dyDescent="0.3">
      <c r="B635" s="6"/>
      <c r="C635" s="6"/>
      <c r="D635" s="6">
        <f t="shared" si="41"/>
        <v>16</v>
      </c>
      <c r="E635" s="636" t="str">
        <f t="shared" si="45"/>
        <v>Non-Spin - PJM Market</v>
      </c>
      <c r="F635" s="303"/>
      <c r="G635" s="304"/>
      <c r="H635" s="304"/>
      <c r="I635" s="304"/>
      <c r="J635" s="304"/>
      <c r="K635" s="304"/>
      <c r="L635" s="304"/>
      <c r="M635" s="304"/>
      <c r="N635" s="304"/>
      <c r="O635" s="304"/>
      <c r="P635" s="304"/>
      <c r="Q635" s="304"/>
      <c r="R635" s="304"/>
      <c r="S635" s="304"/>
      <c r="T635" s="304"/>
      <c r="U635" s="304"/>
      <c r="V635" s="304"/>
      <c r="W635" s="304"/>
      <c r="X635" s="304"/>
      <c r="Y635" s="304"/>
      <c r="Z635" s="304"/>
      <c r="AA635" s="304"/>
      <c r="AB635" s="304"/>
      <c r="AC635" s="304"/>
      <c r="AD635" s="304"/>
      <c r="AE635" s="304"/>
      <c r="AF635" s="304"/>
      <c r="AG635" s="304"/>
      <c r="AH635" s="304"/>
      <c r="AI635" s="304"/>
      <c r="AJ635" s="304"/>
      <c r="AK635" s="304"/>
      <c r="AL635" s="304"/>
      <c r="AM635" s="304"/>
      <c r="AN635" s="304"/>
      <c r="AO635" s="304"/>
      <c r="AP635" s="163"/>
    </row>
    <row r="636" spans="2:42" x14ac:dyDescent="0.3">
      <c r="B636" s="6"/>
      <c r="C636" s="6"/>
      <c r="D636" s="6">
        <f t="shared" si="41"/>
        <v>16</v>
      </c>
      <c r="E636" s="636" t="str">
        <f t="shared" si="45"/>
        <v>Regulation - PJM Market</v>
      </c>
      <c r="F636" s="303"/>
      <c r="G636" s="304"/>
      <c r="H636" s="304"/>
      <c r="I636" s="304">
        <v>400786.84218841931</v>
      </c>
      <c r="J636" s="304">
        <v>199300.77099136959</v>
      </c>
      <c r="K636" s="304">
        <v>91001.339687941669</v>
      </c>
      <c r="L636" s="304">
        <v>56443.897716787615</v>
      </c>
      <c r="M636" s="304">
        <v>37438.266646994729</v>
      </c>
      <c r="N636" s="304">
        <v>33792.491401074971</v>
      </c>
      <c r="O636" s="304">
        <v>30146.716155155213</v>
      </c>
      <c r="P636" s="304">
        <v>26500.940909235465</v>
      </c>
      <c r="Q636" s="304">
        <v>22855.165663315707</v>
      </c>
      <c r="R636" s="304">
        <v>19209.390417395956</v>
      </c>
      <c r="S636" s="304">
        <v>20434.989918256222</v>
      </c>
      <c r="T636" s="304">
        <v>21660.589419116481</v>
      </c>
      <c r="U636" s="304">
        <v>22886.188919976747</v>
      </c>
      <c r="V636" s="304">
        <v>24111.788420837016</v>
      </c>
      <c r="W636" s="304">
        <v>25337.387921697289</v>
      </c>
      <c r="X636" s="304">
        <v>25444.513543613321</v>
      </c>
      <c r="Y636" s="304">
        <v>25551.639165529356</v>
      </c>
      <c r="Z636" s="304">
        <v>25658.764787445376</v>
      </c>
      <c r="AA636" s="304">
        <v>25765.890409361411</v>
      </c>
      <c r="AB636" s="304">
        <v>25873.016031277442</v>
      </c>
      <c r="AC636" s="304"/>
      <c r="AD636" s="304"/>
      <c r="AE636" s="304"/>
      <c r="AF636" s="304"/>
      <c r="AG636" s="304"/>
      <c r="AH636" s="304"/>
      <c r="AI636" s="304"/>
      <c r="AJ636" s="304"/>
      <c r="AK636" s="304"/>
      <c r="AL636" s="304"/>
      <c r="AM636" s="304"/>
      <c r="AN636" s="304"/>
      <c r="AO636" s="304"/>
      <c r="AP636" s="163"/>
    </row>
    <row r="637" spans="2:42" x14ac:dyDescent="0.3">
      <c r="B637" s="6"/>
      <c r="C637" s="6"/>
      <c r="D637" s="6">
        <f t="shared" si="41"/>
        <v>16</v>
      </c>
      <c r="E637" s="636" t="str">
        <f t="shared" si="45"/>
        <v>Incurred Energy Charges</v>
      </c>
      <c r="F637" s="303"/>
      <c r="G637" s="304"/>
      <c r="H637" s="304"/>
      <c r="I637" s="304">
        <v>-392959.84779385664</v>
      </c>
      <c r="J637" s="304">
        <v>-394450.47186147003</v>
      </c>
      <c r="K637" s="304">
        <v>-372036.57255983772</v>
      </c>
      <c r="L637" s="304">
        <v>-391909.25357723865</v>
      </c>
      <c r="M637" s="304">
        <v>-394994.11375040963</v>
      </c>
      <c r="N637" s="304">
        <v>-402072.08720689086</v>
      </c>
      <c r="O637" s="304">
        <v>-409150.06066337205</v>
      </c>
      <c r="P637" s="304">
        <v>-416228.03411985328</v>
      </c>
      <c r="Q637" s="304">
        <v>-423306.00757633446</v>
      </c>
      <c r="R637" s="304">
        <v>-430383.9810328157</v>
      </c>
      <c r="S637" s="304">
        <v>-424444.18396148604</v>
      </c>
      <c r="T637" s="304">
        <v>-418504.38689015643</v>
      </c>
      <c r="U637" s="304">
        <v>-412564.58981882676</v>
      </c>
      <c r="V637" s="304">
        <v>-406624.79274749715</v>
      </c>
      <c r="W637" s="304">
        <v>-400684.99567616748</v>
      </c>
      <c r="X637" s="304">
        <v>-408830.47345131455</v>
      </c>
      <c r="Y637" s="304">
        <v>-416975.95122646162</v>
      </c>
      <c r="Z637" s="304">
        <v>-425121.42900160869</v>
      </c>
      <c r="AA637" s="304">
        <v>-433266.90677675576</v>
      </c>
      <c r="AB637" s="304">
        <v>-441412.38455190283</v>
      </c>
      <c r="AC637" s="304"/>
      <c r="AD637" s="304"/>
      <c r="AE637" s="304"/>
      <c r="AF637" s="304"/>
      <c r="AG637" s="304"/>
      <c r="AH637" s="304"/>
      <c r="AI637" s="304"/>
      <c r="AJ637" s="304"/>
      <c r="AK637" s="304"/>
      <c r="AL637" s="304"/>
      <c r="AM637" s="304"/>
      <c r="AN637" s="304"/>
      <c r="AO637" s="304"/>
      <c r="AP637" s="163"/>
    </row>
    <row r="638" spans="2:42" x14ac:dyDescent="0.3">
      <c r="B638" s="6"/>
      <c r="C638" s="6"/>
      <c r="D638" s="6">
        <f t="shared" si="41"/>
        <v>16</v>
      </c>
      <c r="E638" s="636" t="str">
        <f t="shared" si="45"/>
        <v>As Used Demand Charges</v>
      </c>
      <c r="F638" s="303"/>
      <c r="G638" s="304"/>
      <c r="H638" s="304"/>
      <c r="I638" s="304">
        <v>-69155.853907809142</v>
      </c>
      <c r="J638" s="304">
        <v>-69170.873426833976</v>
      </c>
      <c r="K638" s="304">
        <v>-64641.018837515934</v>
      </c>
      <c r="L638" s="304">
        <v>-68323.287568040178</v>
      </c>
      <c r="M638" s="304">
        <v>-73476.84628252215</v>
      </c>
      <c r="N638" s="304">
        <v>-82295.858527676202</v>
      </c>
      <c r="O638" s="304">
        <v>-91114.870772830269</v>
      </c>
      <c r="P638" s="304">
        <v>-99933.883017984321</v>
      </c>
      <c r="Q638" s="304">
        <v>-108752.89526313837</v>
      </c>
      <c r="R638" s="304">
        <v>-117571.90750829242</v>
      </c>
      <c r="S638" s="304">
        <v>-131946.30934531189</v>
      </c>
      <c r="T638" s="304">
        <v>-146320.71118233138</v>
      </c>
      <c r="U638" s="304">
        <v>-160695.11301935086</v>
      </c>
      <c r="V638" s="304">
        <v>-175069.51485637034</v>
      </c>
      <c r="W638" s="304">
        <v>-189443.91669338982</v>
      </c>
      <c r="X638" s="304">
        <v>-188382.2446374055</v>
      </c>
      <c r="Y638" s="304">
        <v>-187320.57258142118</v>
      </c>
      <c r="Z638" s="304">
        <v>-186258.90052543685</v>
      </c>
      <c r="AA638" s="304">
        <v>-185197.22846945253</v>
      </c>
      <c r="AB638" s="304">
        <v>-184135.55641346821</v>
      </c>
      <c r="AC638" s="304"/>
      <c r="AD638" s="304"/>
      <c r="AE638" s="304"/>
      <c r="AF638" s="304"/>
      <c r="AG638" s="304"/>
      <c r="AH638" s="304"/>
      <c r="AI638" s="304"/>
      <c r="AJ638" s="304"/>
      <c r="AK638" s="304"/>
      <c r="AL638" s="304"/>
      <c r="AM638" s="304"/>
      <c r="AN638" s="304"/>
      <c r="AO638" s="304"/>
      <c r="AP638" s="163"/>
    </row>
    <row r="639" spans="2:42" x14ac:dyDescent="0.3">
      <c r="B639" s="6"/>
      <c r="C639" s="6"/>
      <c r="D639" s="6">
        <f t="shared" si="41"/>
        <v>16</v>
      </c>
      <c r="E639" s="636" t="str">
        <f t="shared" si="45"/>
        <v>Contract Demand Charges  Fixed</v>
      </c>
      <c r="F639" s="303"/>
      <c r="G639" s="304"/>
      <c r="H639" s="304"/>
      <c r="I639" s="304">
        <v>0</v>
      </c>
      <c r="J639" s="304">
        <v>0</v>
      </c>
      <c r="K639" s="304">
        <v>0</v>
      </c>
      <c r="L639" s="304">
        <v>0</v>
      </c>
      <c r="M639" s="304">
        <v>0</v>
      </c>
      <c r="N639" s="304">
        <v>0</v>
      </c>
      <c r="O639" s="304">
        <v>0</v>
      </c>
      <c r="P639" s="304">
        <v>0</v>
      </c>
      <c r="Q639" s="304">
        <v>0</v>
      </c>
      <c r="R639" s="304">
        <v>0</v>
      </c>
      <c r="S639" s="304">
        <v>0</v>
      </c>
      <c r="T639" s="304">
        <v>0</v>
      </c>
      <c r="U639" s="304">
        <v>0</v>
      </c>
      <c r="V639" s="304">
        <v>0</v>
      </c>
      <c r="W639" s="304">
        <v>0</v>
      </c>
      <c r="X639" s="304">
        <v>0</v>
      </c>
      <c r="Y639" s="304">
        <v>0</v>
      </c>
      <c r="Z639" s="304">
        <v>0</v>
      </c>
      <c r="AA639" s="304">
        <v>0</v>
      </c>
      <c r="AB639" s="304">
        <v>0</v>
      </c>
      <c r="AC639" s="304"/>
      <c r="AD639" s="304"/>
      <c r="AE639" s="304"/>
      <c r="AF639" s="304"/>
      <c r="AG639" s="304"/>
      <c r="AH639" s="304"/>
      <c r="AI639" s="304"/>
      <c r="AJ639" s="304"/>
      <c r="AK639" s="304"/>
      <c r="AL639" s="304"/>
      <c r="AM639" s="304"/>
      <c r="AN639" s="304"/>
      <c r="AO639" s="304"/>
      <c r="AP639" s="163"/>
    </row>
    <row r="640" spans="2:42" x14ac:dyDescent="0.3">
      <c r="B640" s="6"/>
      <c r="C640" s="6"/>
      <c r="D640" s="6">
        <f t="shared" si="41"/>
        <v>16</v>
      </c>
      <c r="E640" s="636" t="str">
        <f t="shared" si="45"/>
        <v>Customer Charges/ Fixed Charges</v>
      </c>
      <c r="F640" s="303"/>
      <c r="G640" s="304"/>
      <c r="H640" s="304"/>
      <c r="I640" s="304">
        <v>-404.17228800000004</v>
      </c>
      <c r="J640" s="304">
        <v>-420.33917952000007</v>
      </c>
      <c r="K640" s="304">
        <v>-437.15274670080009</v>
      </c>
      <c r="L640" s="304">
        <v>-454.63885656883213</v>
      </c>
      <c r="M640" s="304">
        <v>-472.82441083158545</v>
      </c>
      <c r="N640" s="304">
        <v>-491.73738726484891</v>
      </c>
      <c r="O640" s="304">
        <v>-511.40688275544289</v>
      </c>
      <c r="P640" s="304">
        <v>-531.86315806566063</v>
      </c>
      <c r="Q640" s="304">
        <v>-553.13768438828708</v>
      </c>
      <c r="R640" s="304">
        <v>-575.26319176381855</v>
      </c>
      <c r="S640" s="304">
        <v>-598.27371943437129</v>
      </c>
      <c r="T640" s="304">
        <v>-622.20466821174614</v>
      </c>
      <c r="U640" s="304">
        <v>-647.09285494021606</v>
      </c>
      <c r="V640" s="304">
        <v>-672.97656913782475</v>
      </c>
      <c r="W640" s="304">
        <v>-699.89563190333774</v>
      </c>
      <c r="X640" s="304">
        <v>-727.89145717947133</v>
      </c>
      <c r="Y640" s="304">
        <v>-757.00711546665025</v>
      </c>
      <c r="Z640" s="304">
        <v>-787.28740008531634</v>
      </c>
      <c r="AA640" s="304">
        <v>-818.77889608872897</v>
      </c>
      <c r="AB640" s="304">
        <v>-851.53005193227818</v>
      </c>
      <c r="AC640" s="304"/>
      <c r="AD640" s="304"/>
      <c r="AE640" s="304"/>
      <c r="AF640" s="304"/>
      <c r="AG640" s="304"/>
      <c r="AH640" s="304"/>
      <c r="AI640" s="304"/>
      <c r="AJ640" s="304"/>
      <c r="AK640" s="304"/>
      <c r="AL640" s="304"/>
      <c r="AM640" s="304"/>
      <c r="AN640" s="304"/>
      <c r="AO640" s="304"/>
      <c r="AP640" s="163"/>
    </row>
    <row r="641" spans="2:42" x14ac:dyDescent="0.3">
      <c r="B641" s="6"/>
      <c r="C641" s="6"/>
      <c r="D641" s="6">
        <f t="shared" si="41"/>
        <v>16</v>
      </c>
      <c r="E641" s="637" t="str">
        <f t="shared" si="45"/>
        <v>Energy Savings</v>
      </c>
      <c r="F641" s="303"/>
      <c r="G641" s="304"/>
      <c r="H641" s="304"/>
      <c r="I641" s="304"/>
      <c r="J641" s="304"/>
      <c r="K641" s="304"/>
      <c r="L641" s="617"/>
      <c r="M641" s="617"/>
      <c r="N641" s="617"/>
      <c r="O641" s="617"/>
      <c r="P641" s="617"/>
      <c r="Q641" s="617"/>
      <c r="R641" s="617"/>
      <c r="S641" s="617"/>
      <c r="T641" s="617"/>
      <c r="U641" s="617"/>
      <c r="V641" s="617"/>
      <c r="W641" s="617"/>
      <c r="X641" s="617"/>
      <c r="Y641" s="617"/>
      <c r="Z641" s="617"/>
      <c r="AA641" s="617"/>
      <c r="AB641" s="304"/>
      <c r="AC641" s="304"/>
      <c r="AD641" s="304"/>
      <c r="AE641" s="304"/>
      <c r="AF641" s="304"/>
      <c r="AG641" s="304"/>
      <c r="AH641" s="304"/>
      <c r="AI641" s="304"/>
      <c r="AJ641" s="304"/>
      <c r="AK641" s="304"/>
      <c r="AL641" s="304"/>
      <c r="AM641" s="304"/>
      <c r="AN641" s="304"/>
      <c r="AO641" s="304"/>
      <c r="AP641" s="163"/>
    </row>
    <row r="642" spans="2:42" x14ac:dyDescent="0.3">
      <c r="B642" s="6"/>
      <c r="C642" s="6"/>
      <c r="D642" s="6">
        <f t="shared" si="41"/>
        <v>16</v>
      </c>
      <c r="E642" s="637" t="str">
        <f t="shared" si="45"/>
        <v xml:space="preserve">Demand Savings </v>
      </c>
      <c r="F642" s="303"/>
      <c r="G642" s="304"/>
      <c r="H642" s="304"/>
      <c r="I642" s="304"/>
      <c r="J642" s="304"/>
      <c r="K642" s="304"/>
      <c r="L642" s="617"/>
      <c r="M642" s="617"/>
      <c r="N642" s="617"/>
      <c r="O642" s="617"/>
      <c r="P642" s="617"/>
      <c r="Q642" s="617"/>
      <c r="R642" s="617"/>
      <c r="S642" s="617"/>
      <c r="T642" s="617"/>
      <c r="U642" s="617"/>
      <c r="V642" s="617"/>
      <c r="W642" s="617"/>
      <c r="X642" s="617"/>
      <c r="Y642" s="617"/>
      <c r="Z642" s="617"/>
      <c r="AA642" s="617"/>
      <c r="AB642" s="304"/>
      <c r="AC642" s="304"/>
      <c r="AD642" s="304"/>
      <c r="AE642" s="304"/>
      <c r="AF642" s="304"/>
      <c r="AG642" s="304"/>
      <c r="AH642" s="304"/>
      <c r="AI642" s="304"/>
      <c r="AJ642" s="304"/>
      <c r="AK642" s="304"/>
      <c r="AL642" s="304"/>
      <c r="AM642" s="304"/>
      <c r="AN642" s="304"/>
      <c r="AO642" s="304"/>
      <c r="AP642" s="163"/>
    </row>
    <row r="643" spans="2:42" x14ac:dyDescent="0.3">
      <c r="B643" s="6"/>
      <c r="C643" s="6"/>
      <c r="D643" s="6">
        <f t="shared" si="41"/>
        <v>16</v>
      </c>
      <c r="E643" s="638" t="str">
        <f t="shared" si="45"/>
        <v>Energy Generation - Export</v>
      </c>
      <c r="F643" s="303"/>
      <c r="G643" s="304"/>
      <c r="H643" s="304"/>
      <c r="I643" s="304">
        <v>505033.83879455732</v>
      </c>
      <c r="J643" s="304">
        <v>566915.22939427558</v>
      </c>
      <c r="K643" s="304">
        <v>557232.83296410984</v>
      </c>
      <c r="L643" s="617">
        <v>572741.56514425378</v>
      </c>
      <c r="M643" s="617">
        <v>615129.16507564788</v>
      </c>
      <c r="N643" s="617">
        <v>642671.76172415912</v>
      </c>
      <c r="O643" s="617">
        <v>670214.35837267037</v>
      </c>
      <c r="P643" s="617">
        <v>697756.95502118161</v>
      </c>
      <c r="Q643" s="617">
        <v>725299.55166969297</v>
      </c>
      <c r="R643" s="617">
        <v>752842.14831820421</v>
      </c>
      <c r="S643" s="617">
        <v>810031.64194752683</v>
      </c>
      <c r="T643" s="617">
        <v>867221.13557684945</v>
      </c>
      <c r="U643" s="617">
        <v>924410.62920617219</v>
      </c>
      <c r="V643" s="617">
        <v>981600.12283549481</v>
      </c>
      <c r="W643" s="617">
        <v>1038789.6164648174</v>
      </c>
      <c r="X643" s="617">
        <v>1082435.9315176273</v>
      </c>
      <c r="Y643" s="617">
        <v>1126082.2465704372</v>
      </c>
      <c r="Z643" s="617">
        <v>1169728.5616232473</v>
      </c>
      <c r="AA643" s="617">
        <v>1213374.8766760572</v>
      </c>
      <c r="AB643" s="304">
        <v>1257021.1917288671</v>
      </c>
      <c r="AC643" s="304"/>
      <c r="AD643" s="304"/>
      <c r="AE643" s="304"/>
      <c r="AF643" s="304"/>
      <c r="AG643" s="304"/>
      <c r="AH643" s="304"/>
      <c r="AI643" s="304"/>
      <c r="AJ643" s="304"/>
      <c r="AK643" s="304"/>
      <c r="AL643" s="304"/>
      <c r="AM643" s="304"/>
      <c r="AN643" s="304"/>
      <c r="AO643" s="304"/>
      <c r="AP643" s="163"/>
    </row>
    <row r="644" spans="2:42" x14ac:dyDescent="0.3">
      <c r="B644" s="6"/>
      <c r="C644" s="6"/>
      <c r="D644" s="6">
        <f t="shared" si="41"/>
        <v>16</v>
      </c>
      <c r="E644" s="638" t="str">
        <f t="shared" si="45"/>
        <v>Generation Capacity</v>
      </c>
      <c r="F644" s="303"/>
      <c r="G644" s="304"/>
      <c r="H644" s="304"/>
      <c r="I644" s="304">
        <v>899107.81422027911</v>
      </c>
      <c r="J644" s="304">
        <v>899940.08466769313</v>
      </c>
      <c r="K644" s="304">
        <v>719938.60464042833</v>
      </c>
      <c r="L644" s="617">
        <v>719935.76552556257</v>
      </c>
      <c r="M644" s="617">
        <v>719935.16280351032</v>
      </c>
      <c r="N644" s="617">
        <v>719869.82103862253</v>
      </c>
      <c r="O644" s="617">
        <v>719804.47927373473</v>
      </c>
      <c r="P644" s="617">
        <v>719739.13750884694</v>
      </c>
      <c r="Q644" s="617">
        <v>719673.79574395914</v>
      </c>
      <c r="R644" s="617">
        <v>719608.45397907135</v>
      </c>
      <c r="S644" s="617">
        <v>743246.14359300316</v>
      </c>
      <c r="T644" s="617">
        <v>766883.83320693497</v>
      </c>
      <c r="U644" s="617">
        <v>790521.5228208669</v>
      </c>
      <c r="V644" s="617">
        <v>814159.21243479871</v>
      </c>
      <c r="W644" s="617">
        <v>837796.90204873052</v>
      </c>
      <c r="X644" s="617">
        <v>861142.87633736699</v>
      </c>
      <c r="Y644" s="617">
        <v>884488.85062600358</v>
      </c>
      <c r="Z644" s="617">
        <v>907834.82491464005</v>
      </c>
      <c r="AA644" s="617">
        <v>931180.79920327663</v>
      </c>
      <c r="AB644" s="304">
        <v>954526.7734919131</v>
      </c>
      <c r="AC644" s="304"/>
      <c r="AD644" s="304"/>
      <c r="AE644" s="304"/>
      <c r="AF644" s="304"/>
      <c r="AG644" s="304"/>
      <c r="AH644" s="304"/>
      <c r="AI644" s="304"/>
      <c r="AJ644" s="304"/>
      <c r="AK644" s="304"/>
      <c r="AL644" s="304"/>
      <c r="AM644" s="304"/>
      <c r="AN644" s="304"/>
      <c r="AO644" s="304"/>
      <c r="AP644" s="163"/>
    </row>
    <row r="645" spans="2:42" x14ac:dyDescent="0.3">
      <c r="B645" s="6"/>
      <c r="C645" s="6"/>
      <c r="D645" s="6">
        <f t="shared" si="41"/>
        <v>16</v>
      </c>
      <c r="E645" s="638" t="str">
        <f t="shared" si="45"/>
        <v>Transmission Capacity</v>
      </c>
      <c r="F645" s="303"/>
      <c r="G645" s="304"/>
      <c r="H645" s="304"/>
      <c r="I645" s="304">
        <v>306399.28784337011</v>
      </c>
      <c r="J645" s="304">
        <v>306682.91019471397</v>
      </c>
      <c r="K645" s="304">
        <v>245341.74018282208</v>
      </c>
      <c r="L645" s="617">
        <v>245340.77266506822</v>
      </c>
      <c r="M645" s="617">
        <v>245340.5672685577</v>
      </c>
      <c r="N645" s="617">
        <v>245318.30000548714</v>
      </c>
      <c r="O645" s="617">
        <v>245296.03274241657</v>
      </c>
      <c r="P645" s="617">
        <v>245273.76547934598</v>
      </c>
      <c r="Q645" s="617">
        <v>245251.49821627542</v>
      </c>
      <c r="R645" s="617">
        <v>245229.23095320485</v>
      </c>
      <c r="S645" s="617">
        <v>249474.21666360321</v>
      </c>
      <c r="T645" s="617">
        <v>253719.20237400153</v>
      </c>
      <c r="U645" s="617">
        <v>257964.18808439988</v>
      </c>
      <c r="V645" s="617">
        <v>262209.1737947982</v>
      </c>
      <c r="W645" s="617">
        <v>266454.15950519656</v>
      </c>
      <c r="X645" s="617">
        <v>273879.14752042649</v>
      </c>
      <c r="Y645" s="617">
        <v>281304.13553565642</v>
      </c>
      <c r="Z645" s="617">
        <v>288729.12355088629</v>
      </c>
      <c r="AA645" s="617">
        <v>296154.11156611622</v>
      </c>
      <c r="AB645" s="304">
        <v>303579.09958134615</v>
      </c>
      <c r="AC645" s="304"/>
      <c r="AD645" s="304"/>
      <c r="AE645" s="304"/>
      <c r="AF645" s="304"/>
      <c r="AG645" s="304"/>
      <c r="AH645" s="304"/>
      <c r="AI645" s="304"/>
      <c r="AJ645" s="304"/>
      <c r="AK645" s="304"/>
      <c r="AL645" s="304"/>
      <c r="AM645" s="304"/>
      <c r="AN645" s="304"/>
      <c r="AO645" s="304"/>
      <c r="AP645" s="163"/>
    </row>
    <row r="646" spans="2:42" x14ac:dyDescent="0.3">
      <c r="B646" s="6"/>
      <c r="C646" s="6"/>
      <c r="D646" s="6">
        <f t="shared" si="41"/>
        <v>16</v>
      </c>
      <c r="E646" s="638" t="str">
        <f t="shared" si="45"/>
        <v>Distribution Capacity</v>
      </c>
      <c r="F646" s="303"/>
      <c r="G646" s="304"/>
      <c r="H646" s="304"/>
      <c r="I646" s="304">
        <v>68999.252604636422</v>
      </c>
      <c r="J646" s="304">
        <v>70980.159506286815</v>
      </c>
      <c r="K646" s="304">
        <v>64261.288123809893</v>
      </c>
      <c r="L646" s="617">
        <v>64241.628358449925</v>
      </c>
      <c r="M646" s="617">
        <v>62027.003613022578</v>
      </c>
      <c r="N646" s="617">
        <v>62310.872489856934</v>
      </c>
      <c r="O646" s="617">
        <v>62594.741366691291</v>
      </c>
      <c r="P646" s="617">
        <v>62878.610243525654</v>
      </c>
      <c r="Q646" s="617">
        <v>63162.479120360011</v>
      </c>
      <c r="R646" s="617">
        <v>63446.347997194367</v>
      </c>
      <c r="S646" s="617">
        <v>64468.192282050615</v>
      </c>
      <c r="T646" s="617">
        <v>65490.036566906871</v>
      </c>
      <c r="U646" s="617">
        <v>66511.880851763126</v>
      </c>
      <c r="V646" s="617">
        <v>67533.725136619367</v>
      </c>
      <c r="W646" s="617">
        <v>68555.569421475622</v>
      </c>
      <c r="X646" s="617">
        <v>69302.883634827653</v>
      </c>
      <c r="Y646" s="617">
        <v>70050.197848179683</v>
      </c>
      <c r="Z646" s="617">
        <v>70797.512061531699</v>
      </c>
      <c r="AA646" s="617">
        <v>71544.82627488373</v>
      </c>
      <c r="AB646" s="304">
        <v>72292.14048823576</v>
      </c>
      <c r="AC646" s="304"/>
      <c r="AD646" s="304"/>
      <c r="AE646" s="304"/>
      <c r="AF646" s="304"/>
      <c r="AG646" s="304"/>
      <c r="AH646" s="304"/>
      <c r="AI646" s="304"/>
      <c r="AJ646" s="304"/>
      <c r="AK646" s="304"/>
      <c r="AL646" s="304"/>
      <c r="AM646" s="304"/>
      <c r="AN646" s="304"/>
      <c r="AO646" s="304"/>
      <c r="AP646" s="163"/>
    </row>
    <row r="647" spans="2:42" x14ac:dyDescent="0.3">
      <c r="B647" s="6"/>
      <c r="C647" s="6"/>
      <c r="D647" s="6">
        <f t="shared" ref="D647:D709" si="46">D607+1</f>
        <v>16</v>
      </c>
      <c r="E647" s="638" t="str">
        <f t="shared" si="45"/>
        <v>GHG Impacts</v>
      </c>
      <c r="F647" s="303"/>
      <c r="G647" s="304"/>
      <c r="H647" s="304"/>
      <c r="I647" s="304">
        <v>513914.49429896282</v>
      </c>
      <c r="J647" s="304">
        <v>422624.68463675835</v>
      </c>
      <c r="K647" s="304">
        <v>150587.5380678756</v>
      </c>
      <c r="L647" s="617">
        <v>188868.34272397324</v>
      </c>
      <c r="M647" s="617">
        <v>234088.99801487679</v>
      </c>
      <c r="N647" s="617">
        <v>282423.93518998468</v>
      </c>
      <c r="O647" s="617">
        <v>330758.87236509251</v>
      </c>
      <c r="P647" s="617">
        <v>379093.8095402004</v>
      </c>
      <c r="Q647" s="617">
        <v>427428.74671530828</v>
      </c>
      <c r="R647" s="617">
        <v>475763.68389041611</v>
      </c>
      <c r="S647" s="617">
        <v>545311.54832756496</v>
      </c>
      <c r="T647" s="617">
        <v>614859.41276471375</v>
      </c>
      <c r="U647" s="617">
        <v>684407.27720186254</v>
      </c>
      <c r="V647" s="617">
        <v>753955.14163901133</v>
      </c>
      <c r="W647" s="617">
        <v>823503.00607616012</v>
      </c>
      <c r="X647" s="617">
        <v>895085.43924530514</v>
      </c>
      <c r="Y647" s="617">
        <v>966667.87241445016</v>
      </c>
      <c r="Z647" s="617">
        <v>1038250.3055835953</v>
      </c>
      <c r="AA647" s="617">
        <v>1109832.7387527404</v>
      </c>
      <c r="AB647" s="304">
        <v>1181415.1719218853</v>
      </c>
      <c r="AC647" s="304"/>
      <c r="AD647" s="304"/>
      <c r="AE647" s="304"/>
      <c r="AF647" s="304"/>
      <c r="AG647" s="304"/>
      <c r="AH647" s="304"/>
      <c r="AI647" s="304"/>
      <c r="AJ647" s="304"/>
      <c r="AK647" s="304"/>
      <c r="AL647" s="304"/>
      <c r="AM647" s="304"/>
      <c r="AN647" s="304"/>
      <c r="AO647" s="304"/>
      <c r="AP647" s="163"/>
    </row>
    <row r="648" spans="2:42" x14ac:dyDescent="0.3">
      <c r="B648" s="6"/>
      <c r="C648" s="6"/>
      <c r="D648" s="6">
        <f t="shared" si="46"/>
        <v>16</v>
      </c>
      <c r="E648" s="638" t="str">
        <f t="shared" si="45"/>
        <v>Market Price Effects - Wholesale Energy</v>
      </c>
      <c r="F648" s="303"/>
      <c r="G648" s="304"/>
      <c r="H648" s="304"/>
      <c r="I648" s="304">
        <v>29009.873552741949</v>
      </c>
      <c r="J648" s="304">
        <v>66111.60225900168</v>
      </c>
      <c r="K648" s="304">
        <v>102716.50997065642</v>
      </c>
      <c r="L648" s="617">
        <v>101803.58249274195</v>
      </c>
      <c r="M648" s="617">
        <v>146500.0785180901</v>
      </c>
      <c r="N648" s="617">
        <v>134450.23986005079</v>
      </c>
      <c r="O648" s="617">
        <v>122400.40120201146</v>
      </c>
      <c r="P648" s="617">
        <v>110350.56254397215</v>
      </c>
      <c r="Q648" s="617">
        <v>98300.723885932821</v>
      </c>
      <c r="R648" s="617">
        <v>86250.885227893508</v>
      </c>
      <c r="S648" s="617">
        <v>104533.59322153532</v>
      </c>
      <c r="T648" s="617">
        <v>122816.30121517715</v>
      </c>
      <c r="U648" s="617">
        <v>141099.00920881898</v>
      </c>
      <c r="V648" s="617">
        <v>159381.7172024608</v>
      </c>
      <c r="W648" s="617">
        <v>177664.42519610262</v>
      </c>
      <c r="X648" s="617">
        <v>188674.0954239284</v>
      </c>
      <c r="Y648" s="617">
        <v>199683.76565175419</v>
      </c>
      <c r="Z648" s="617">
        <v>210693.43587957998</v>
      </c>
      <c r="AA648" s="617">
        <v>221703.10610740577</v>
      </c>
      <c r="AB648" s="304">
        <v>232712.77633523155</v>
      </c>
      <c r="AC648" s="304"/>
      <c r="AD648" s="304"/>
      <c r="AE648" s="304"/>
      <c r="AF648" s="304"/>
      <c r="AG648" s="304"/>
      <c r="AH648" s="304"/>
      <c r="AI648" s="304"/>
      <c r="AJ648" s="304"/>
      <c r="AK648" s="304"/>
      <c r="AL648" s="304"/>
      <c r="AM648" s="304"/>
      <c r="AN648" s="304"/>
      <c r="AO648" s="304"/>
      <c r="AP648" s="163"/>
    </row>
    <row r="649" spans="2:42" x14ac:dyDescent="0.3">
      <c r="B649" s="6"/>
      <c r="C649" s="6"/>
      <c r="D649" s="6">
        <f t="shared" si="46"/>
        <v>16</v>
      </c>
      <c r="E649" s="638" t="str">
        <f t="shared" si="45"/>
        <v>Market Price Effects - Wholesale Capacity</v>
      </c>
      <c r="F649" s="303"/>
      <c r="G649" s="304"/>
      <c r="H649" s="304"/>
      <c r="I649" s="304">
        <v>0</v>
      </c>
      <c r="J649" s="304">
        <v>0</v>
      </c>
      <c r="K649" s="304">
        <v>0</v>
      </c>
      <c r="L649" s="617">
        <v>0</v>
      </c>
      <c r="M649" s="617">
        <v>0</v>
      </c>
      <c r="N649" s="617">
        <v>0</v>
      </c>
      <c r="O649" s="617">
        <v>0</v>
      </c>
      <c r="P649" s="617">
        <v>0</v>
      </c>
      <c r="Q649" s="617">
        <v>0</v>
      </c>
      <c r="R649" s="617">
        <v>0</v>
      </c>
      <c r="S649" s="617">
        <v>0</v>
      </c>
      <c r="T649" s="617">
        <v>0</v>
      </c>
      <c r="U649" s="617">
        <v>0</v>
      </c>
      <c r="V649" s="617">
        <v>0</v>
      </c>
      <c r="W649" s="617">
        <v>0</v>
      </c>
      <c r="X649" s="617">
        <v>0</v>
      </c>
      <c r="Y649" s="617">
        <v>0</v>
      </c>
      <c r="Z649" s="617">
        <v>0</v>
      </c>
      <c r="AA649" s="617">
        <v>0</v>
      </c>
      <c r="AB649" s="304">
        <v>0</v>
      </c>
      <c r="AC649" s="304"/>
      <c r="AD649" s="304"/>
      <c r="AE649" s="304"/>
      <c r="AF649" s="304"/>
      <c r="AG649" s="304"/>
      <c r="AH649" s="304"/>
      <c r="AI649" s="304"/>
      <c r="AJ649" s="304"/>
      <c r="AK649" s="304"/>
      <c r="AL649" s="304"/>
      <c r="AM649" s="304"/>
      <c r="AN649" s="304"/>
      <c r="AO649" s="304"/>
      <c r="AP649" s="163"/>
    </row>
    <row r="650" spans="2:42" x14ac:dyDescent="0.3">
      <c r="B650" s="6"/>
      <c r="C650" s="6"/>
      <c r="D650" s="6">
        <f t="shared" si="46"/>
        <v>16</v>
      </c>
      <c r="E650" s="639" t="str">
        <f t="shared" si="45"/>
        <v>Avoided Cost of Participant Backup Generator</v>
      </c>
      <c r="F650" s="303"/>
      <c r="G650" s="303"/>
      <c r="H650" s="303"/>
      <c r="I650" s="303">
        <v>0</v>
      </c>
      <c r="J650" s="303">
        <v>0</v>
      </c>
      <c r="K650" s="303">
        <v>0</v>
      </c>
      <c r="L650" s="303">
        <v>0</v>
      </c>
      <c r="M650" s="303">
        <v>0</v>
      </c>
      <c r="N650" s="303">
        <v>0</v>
      </c>
      <c r="O650" s="303">
        <v>0</v>
      </c>
      <c r="P650" s="303">
        <v>0</v>
      </c>
      <c r="Q650" s="303">
        <v>0</v>
      </c>
      <c r="R650" s="303">
        <v>0</v>
      </c>
      <c r="S650" s="303">
        <v>0</v>
      </c>
      <c r="T650" s="303">
        <v>0</v>
      </c>
      <c r="U650" s="303">
        <v>0</v>
      </c>
      <c r="V650" s="303">
        <v>0</v>
      </c>
      <c r="W650" s="303">
        <v>0</v>
      </c>
      <c r="X650" s="303">
        <v>0</v>
      </c>
      <c r="Y650" s="303">
        <v>0</v>
      </c>
      <c r="Z650" s="303">
        <v>0</v>
      </c>
      <c r="AA650" s="303">
        <v>0</v>
      </c>
      <c r="AB650" s="303">
        <v>0</v>
      </c>
      <c r="AC650" s="303"/>
      <c r="AD650" s="303"/>
      <c r="AE650" s="303"/>
      <c r="AF650" s="303"/>
      <c r="AG650" s="303"/>
      <c r="AH650" s="303"/>
      <c r="AI650" s="303"/>
      <c r="AJ650" s="303"/>
      <c r="AK650" s="303"/>
      <c r="AL650" s="303"/>
      <c r="AM650" s="303"/>
      <c r="AN650" s="303"/>
      <c r="AO650" s="303"/>
      <c r="AP650" s="163"/>
    </row>
    <row r="651" spans="2:42" x14ac:dyDescent="0.3">
      <c r="B651" s="6"/>
      <c r="C651" s="6"/>
      <c r="D651" s="6">
        <f t="shared" si="46"/>
        <v>16</v>
      </c>
      <c r="E651" s="640" t="str">
        <f t="shared" si="45"/>
        <v>Full Eq DoD Cycle</v>
      </c>
      <c r="F651" s="303"/>
      <c r="G651" s="303"/>
      <c r="H651" s="310"/>
      <c r="I651" s="308">
        <v>365</v>
      </c>
      <c r="J651" s="308">
        <v>365</v>
      </c>
      <c r="K651" s="308">
        <v>345.30041467463343</v>
      </c>
      <c r="L651" s="618">
        <v>348.23433299221045</v>
      </c>
      <c r="M651" s="618">
        <v>356.68501025142638</v>
      </c>
      <c r="N651" s="618">
        <v>358.34800820114111</v>
      </c>
      <c r="O651" s="618">
        <v>360.01100615085585</v>
      </c>
      <c r="P651" s="618">
        <v>361.67400410057053</v>
      </c>
      <c r="Q651" s="618">
        <v>363.33700205028526</v>
      </c>
      <c r="R651" s="618">
        <v>365</v>
      </c>
      <c r="S651" s="618">
        <v>365</v>
      </c>
      <c r="T651" s="618">
        <v>365</v>
      </c>
      <c r="U651" s="618">
        <v>365</v>
      </c>
      <c r="V651" s="618">
        <v>365</v>
      </c>
      <c r="W651" s="618">
        <v>365</v>
      </c>
      <c r="X651" s="618">
        <v>365</v>
      </c>
      <c r="Y651" s="618">
        <v>365</v>
      </c>
      <c r="Z651" s="618">
        <v>365</v>
      </c>
      <c r="AA651" s="618">
        <v>365</v>
      </c>
      <c r="AB651" s="308">
        <v>365</v>
      </c>
      <c r="AC651" s="309"/>
      <c r="AD651" s="309"/>
      <c r="AE651" s="309"/>
      <c r="AF651" s="309"/>
      <c r="AG651" s="309"/>
      <c r="AH651" s="309"/>
      <c r="AI651" s="309"/>
      <c r="AJ651" s="309"/>
      <c r="AK651" s="309"/>
      <c r="AL651" s="309"/>
      <c r="AM651" s="309"/>
      <c r="AN651" s="309"/>
      <c r="AO651" s="309"/>
      <c r="AP651" s="163"/>
    </row>
    <row r="652" spans="2:42" x14ac:dyDescent="0.3">
      <c r="B652" s="6"/>
      <c r="C652" s="6"/>
      <c r="D652" s="6">
        <f t="shared" si="46"/>
        <v>16</v>
      </c>
      <c r="E652" s="640" t="str">
        <f t="shared" si="45"/>
        <v>Export MWh</v>
      </c>
      <c r="F652" s="303"/>
      <c r="G652" s="303"/>
      <c r="H652" s="310"/>
      <c r="I652" s="308"/>
      <c r="J652" s="308"/>
      <c r="K652" s="308"/>
      <c r="L652" s="618"/>
      <c r="M652" s="618"/>
      <c r="N652" s="618"/>
      <c r="O652" s="618"/>
      <c r="P652" s="618"/>
      <c r="Q652" s="618"/>
      <c r="R652" s="618"/>
      <c r="S652" s="618"/>
      <c r="T652" s="618"/>
      <c r="U652" s="618"/>
      <c r="V652" s="618"/>
      <c r="W652" s="618"/>
      <c r="X652" s="618"/>
      <c r="Y652" s="618"/>
      <c r="Z652" s="618"/>
      <c r="AA652" s="618"/>
      <c r="AB652" s="308"/>
      <c r="AC652" s="309"/>
      <c r="AD652" s="309"/>
      <c r="AE652" s="309"/>
      <c r="AF652" s="309"/>
      <c r="AG652" s="309"/>
      <c r="AH652" s="309"/>
      <c r="AI652" s="309"/>
      <c r="AJ652" s="309"/>
      <c r="AK652" s="309"/>
      <c r="AL652" s="309"/>
      <c r="AM652" s="309"/>
      <c r="AN652" s="309"/>
      <c r="AO652" s="309"/>
      <c r="AP652" s="163"/>
    </row>
    <row r="653" spans="2:42" x14ac:dyDescent="0.3">
      <c r="B653" s="6"/>
      <c r="C653" s="6"/>
      <c r="D653" s="6">
        <f t="shared" si="46"/>
        <v>16</v>
      </c>
      <c r="E653" s="640" t="str">
        <f t="shared" si="45"/>
        <v>Charge MWh</v>
      </c>
      <c r="F653" s="303"/>
      <c r="G653" s="303"/>
      <c r="H653" s="310"/>
      <c r="I653" s="311"/>
      <c r="J653" s="311"/>
      <c r="K653" s="311"/>
      <c r="L653" s="619"/>
      <c r="M653" s="619"/>
      <c r="N653" s="619"/>
      <c r="O653" s="619"/>
      <c r="P653" s="619"/>
      <c r="Q653" s="619"/>
      <c r="R653" s="619"/>
      <c r="S653" s="619"/>
      <c r="T653" s="619"/>
      <c r="U653" s="619"/>
      <c r="V653" s="619"/>
      <c r="W653" s="619"/>
      <c r="X653" s="619"/>
      <c r="Y653" s="619"/>
      <c r="Z653" s="619"/>
      <c r="AA653" s="619"/>
      <c r="AB653" s="311"/>
      <c r="AC653" s="313"/>
      <c r="AD653" s="313"/>
      <c r="AE653" s="313"/>
      <c r="AF653" s="313"/>
      <c r="AG653" s="313"/>
      <c r="AH653" s="313"/>
      <c r="AI653" s="313"/>
      <c r="AJ653" s="313"/>
      <c r="AK653" s="313"/>
      <c r="AL653" s="313"/>
      <c r="AM653" s="313"/>
      <c r="AN653" s="313"/>
      <c r="AO653" s="313"/>
      <c r="AP653" s="163"/>
    </row>
    <row r="654" spans="2:42" x14ac:dyDescent="0.3">
      <c r="B654" s="6"/>
      <c r="C654" s="6"/>
      <c r="D654" s="6">
        <f t="shared" si="46"/>
        <v>16</v>
      </c>
      <c r="E654" s="641" t="str">
        <f t="shared" si="45"/>
        <v>Total ESS Charge MWh</v>
      </c>
      <c r="F654" s="303"/>
      <c r="G654" s="306"/>
      <c r="H654" s="310"/>
      <c r="I654" s="308">
        <v>8588.2352941176741</v>
      </c>
      <c r="J654" s="308">
        <v>8588.235295952567</v>
      </c>
      <c r="K654" s="308">
        <v>8124.7156386992656</v>
      </c>
      <c r="L654" s="618">
        <v>8193.7490115814562</v>
      </c>
      <c r="M654" s="618">
        <v>8392.5884694304932</v>
      </c>
      <c r="N654" s="618">
        <v>8431.7178340658411</v>
      </c>
      <c r="O654" s="618">
        <v>8470.847198701189</v>
      </c>
      <c r="P654" s="618">
        <v>8509.9765633365369</v>
      </c>
      <c r="Q654" s="618">
        <v>8549.1059279718847</v>
      </c>
      <c r="R654" s="618">
        <v>8588.2352926072326</v>
      </c>
      <c r="S654" s="618">
        <v>8588.2352928531036</v>
      </c>
      <c r="T654" s="618">
        <v>8588.2352930989764</v>
      </c>
      <c r="U654" s="618">
        <v>8588.2352933448474</v>
      </c>
      <c r="V654" s="618">
        <v>8588.2352935907202</v>
      </c>
      <c r="W654" s="618">
        <v>8588.2352938365912</v>
      </c>
      <c r="X654" s="618">
        <v>8588.2352936302868</v>
      </c>
      <c r="Y654" s="618">
        <v>8588.2352934239807</v>
      </c>
      <c r="Z654" s="618">
        <v>8588.2352932176764</v>
      </c>
      <c r="AA654" s="618">
        <v>8588.2352930113702</v>
      </c>
      <c r="AB654" s="308">
        <v>8588.2352928050659</v>
      </c>
      <c r="AC654" s="309"/>
      <c r="AD654" s="309"/>
      <c r="AE654" s="309"/>
      <c r="AF654" s="309"/>
      <c r="AG654" s="309"/>
      <c r="AH654" s="309"/>
      <c r="AI654" s="309"/>
      <c r="AJ654" s="309"/>
      <c r="AK654" s="309"/>
      <c r="AL654" s="309"/>
      <c r="AM654" s="309"/>
      <c r="AN654" s="309"/>
      <c r="AO654" s="309"/>
      <c r="AP654" s="163"/>
    </row>
    <row r="655" spans="2:42" x14ac:dyDescent="0.3">
      <c r="B655" s="6"/>
      <c r="C655" s="6"/>
      <c r="D655" s="6">
        <f t="shared" si="46"/>
        <v>16</v>
      </c>
      <c r="E655" s="642" t="str">
        <f t="shared" si="45"/>
        <v>Avg Generation Capacity</v>
      </c>
      <c r="F655" s="303"/>
      <c r="G655" s="306"/>
      <c r="H655" s="310"/>
      <c r="I655" s="308">
        <v>0</v>
      </c>
      <c r="J655" s="308">
        <v>0</v>
      </c>
      <c r="K655" s="308">
        <v>0</v>
      </c>
      <c r="L655" s="308">
        <v>0</v>
      </c>
      <c r="M655" s="308">
        <v>0</v>
      </c>
      <c r="N655" s="308">
        <v>0</v>
      </c>
      <c r="O655" s="308">
        <v>0</v>
      </c>
      <c r="P655" s="308">
        <v>0</v>
      </c>
      <c r="Q655" s="308">
        <v>0</v>
      </c>
      <c r="R655" s="308">
        <v>0</v>
      </c>
      <c r="S655" s="308">
        <v>0</v>
      </c>
      <c r="T655" s="308">
        <v>0</v>
      </c>
      <c r="U655" s="308">
        <v>0</v>
      </c>
      <c r="V655" s="308">
        <v>0</v>
      </c>
      <c r="W655" s="308">
        <v>0</v>
      </c>
      <c r="X655" s="308">
        <v>0</v>
      </c>
      <c r="Y655" s="308">
        <v>0</v>
      </c>
      <c r="Z655" s="308">
        <v>0</v>
      </c>
      <c r="AA655" s="308">
        <v>0</v>
      </c>
      <c r="AB655" s="308">
        <v>0</v>
      </c>
      <c r="AC655" s="309"/>
      <c r="AD655" s="309"/>
      <c r="AE655" s="309"/>
      <c r="AF655" s="309"/>
      <c r="AG655" s="309"/>
      <c r="AH655" s="309"/>
      <c r="AI655" s="309"/>
      <c r="AJ655" s="309"/>
      <c r="AK655" s="309"/>
      <c r="AL655" s="309"/>
      <c r="AM655" s="309"/>
      <c r="AN655" s="309"/>
      <c r="AO655" s="309"/>
      <c r="AP655" s="163"/>
    </row>
    <row r="656" spans="2:42" x14ac:dyDescent="0.3">
      <c r="B656" s="6"/>
      <c r="C656" s="6"/>
      <c r="D656" s="6">
        <f t="shared" si="46"/>
        <v>16</v>
      </c>
      <c r="E656" s="642" t="str">
        <f t="shared" si="45"/>
        <v>Avg Transmission Capacity</v>
      </c>
      <c r="F656" s="303"/>
      <c r="G656" s="306"/>
      <c r="H656" s="310"/>
      <c r="I656" s="308">
        <v>0</v>
      </c>
      <c r="J656" s="308">
        <v>0</v>
      </c>
      <c r="K656" s="308">
        <v>0</v>
      </c>
      <c r="L656" s="308">
        <v>0</v>
      </c>
      <c r="M656" s="308">
        <v>0</v>
      </c>
      <c r="N656" s="308">
        <v>0</v>
      </c>
      <c r="O656" s="308">
        <v>0</v>
      </c>
      <c r="P656" s="308">
        <v>0</v>
      </c>
      <c r="Q656" s="308">
        <v>0</v>
      </c>
      <c r="R656" s="308">
        <v>0</v>
      </c>
      <c r="S656" s="308">
        <v>0</v>
      </c>
      <c r="T656" s="308">
        <v>0</v>
      </c>
      <c r="U656" s="308">
        <v>0</v>
      </c>
      <c r="V656" s="308">
        <v>0</v>
      </c>
      <c r="W656" s="308">
        <v>0</v>
      </c>
      <c r="X656" s="308">
        <v>0</v>
      </c>
      <c r="Y656" s="308">
        <v>0</v>
      </c>
      <c r="Z656" s="308">
        <v>0</v>
      </c>
      <c r="AA656" s="308">
        <v>0</v>
      </c>
      <c r="AB656" s="308">
        <v>0</v>
      </c>
      <c r="AC656" s="309"/>
      <c r="AD656" s="309"/>
      <c r="AE656" s="309"/>
      <c r="AF656" s="309"/>
      <c r="AG656" s="309"/>
      <c r="AH656" s="309"/>
      <c r="AI656" s="309"/>
      <c r="AJ656" s="309"/>
      <c r="AK656" s="309"/>
      <c r="AL656" s="309"/>
      <c r="AM656" s="309"/>
      <c r="AN656" s="309"/>
      <c r="AO656" s="309"/>
      <c r="AP656" s="163"/>
    </row>
    <row r="657" spans="2:42" x14ac:dyDescent="0.3">
      <c r="B657" s="6"/>
      <c r="C657" s="6"/>
      <c r="D657" s="6">
        <f t="shared" si="46"/>
        <v>16</v>
      </c>
      <c r="E657" s="642" t="str">
        <f t="shared" si="45"/>
        <v>Avg Distribution Capacity</v>
      </c>
      <c r="F657" s="303"/>
      <c r="G657" s="306"/>
      <c r="H657" s="310"/>
      <c r="I657" s="308">
        <v>3.125E-2</v>
      </c>
      <c r="J657" s="308">
        <v>0</v>
      </c>
      <c r="K657" s="308">
        <v>4.4117647058823537E-3</v>
      </c>
      <c r="L657" s="618">
        <v>2.1693045781865619E-3</v>
      </c>
      <c r="M657" s="618">
        <v>0</v>
      </c>
      <c r="N657" s="618">
        <v>1.3611390503288452E-3</v>
      </c>
      <c r="O657" s="618">
        <v>2.7222781006576904E-3</v>
      </c>
      <c r="P657" s="618">
        <v>4.0834171509865356E-3</v>
      </c>
      <c r="Q657" s="618">
        <v>5.4445562013153807E-3</v>
      </c>
      <c r="R657" s="618">
        <v>6.8056952516442259E-3</v>
      </c>
      <c r="S657" s="618">
        <v>1.5741152146168433E-2</v>
      </c>
      <c r="T657" s="618">
        <v>2.4676609040692642E-2</v>
      </c>
      <c r="U657" s="618">
        <v>3.3612065935216845E-2</v>
      </c>
      <c r="V657" s="618">
        <v>3.5456269024784208E-2</v>
      </c>
      <c r="W657" s="618">
        <v>4.2902483103554385E-2</v>
      </c>
      <c r="X657" s="618">
        <v>4.3115377977880079E-2</v>
      </c>
      <c r="Y657" s="618">
        <v>4.3328272852205765E-2</v>
      </c>
      <c r="Z657" s="618">
        <v>4.3541167726531459E-2</v>
      </c>
      <c r="AA657" s="618">
        <v>4.3754062600857145E-2</v>
      </c>
      <c r="AB657" s="308">
        <v>4.3966957475182838E-2</v>
      </c>
      <c r="AC657" s="309"/>
      <c r="AD657" s="309"/>
      <c r="AE657" s="309"/>
      <c r="AF657" s="309"/>
      <c r="AG657" s="309"/>
      <c r="AH657" s="309"/>
      <c r="AI657" s="309"/>
      <c r="AJ657" s="309"/>
      <c r="AK657" s="309"/>
      <c r="AL657" s="309"/>
      <c r="AM657" s="309"/>
      <c r="AN657" s="309"/>
      <c r="AO657" s="309"/>
      <c r="AP657" s="163"/>
    </row>
    <row r="658" spans="2:42" x14ac:dyDescent="0.3">
      <c r="B658" s="6"/>
      <c r="C658" s="6"/>
      <c r="D658" s="6">
        <f t="shared" si="46"/>
        <v>16</v>
      </c>
      <c r="E658" s="642" t="str">
        <f t="shared" si="45"/>
        <v>GHG Impacts</v>
      </c>
      <c r="F658" s="303"/>
      <c r="G658" s="306"/>
      <c r="H658" s="310"/>
      <c r="I658" s="308">
        <v>8583.3731099871566</v>
      </c>
      <c r="J658" s="308">
        <v>8552.0852959525619</v>
      </c>
      <c r="K658" s="308">
        <v>8029.2616812509959</v>
      </c>
      <c r="L658" s="618">
        <v>7929.396088356013</v>
      </c>
      <c r="M658" s="618">
        <v>7771.3371837018303</v>
      </c>
      <c r="N658" s="618">
        <v>7317.1452177138844</v>
      </c>
      <c r="O658" s="618">
        <v>6862.9532517259386</v>
      </c>
      <c r="P658" s="618">
        <v>6408.7612857379927</v>
      </c>
      <c r="Q658" s="618">
        <v>5954.5693197500468</v>
      </c>
      <c r="R658" s="618">
        <v>5500.3773537621009</v>
      </c>
      <c r="S658" s="618">
        <v>5093.3763345697416</v>
      </c>
      <c r="T658" s="618">
        <v>4686.3753153773823</v>
      </c>
      <c r="U658" s="618">
        <v>4279.3742961850221</v>
      </c>
      <c r="V658" s="618">
        <v>3872.3732769926632</v>
      </c>
      <c r="W658" s="618">
        <v>3465.3722578003039</v>
      </c>
      <c r="X658" s="618">
        <v>3172.4239040343314</v>
      </c>
      <c r="Y658" s="618">
        <v>2879.4755502683593</v>
      </c>
      <c r="Z658" s="618">
        <v>2586.5271965023867</v>
      </c>
      <c r="AA658" s="618">
        <v>2293.5788427364141</v>
      </c>
      <c r="AB658" s="308">
        <v>2000.6304889704415</v>
      </c>
      <c r="AC658" s="309"/>
      <c r="AD658" s="309"/>
      <c r="AE658" s="309"/>
      <c r="AF658" s="309"/>
      <c r="AG658" s="309"/>
      <c r="AH658" s="309"/>
      <c r="AI658" s="309"/>
      <c r="AJ658" s="309"/>
      <c r="AK658" s="309"/>
      <c r="AL658" s="309"/>
      <c r="AM658" s="309"/>
      <c r="AN658" s="309"/>
      <c r="AO658" s="309"/>
      <c r="AP658" s="163"/>
    </row>
    <row r="659" spans="2:42" x14ac:dyDescent="0.3">
      <c r="B659" s="6"/>
      <c r="C659" s="6"/>
      <c r="D659" s="6">
        <f t="shared" si="46"/>
        <v>16</v>
      </c>
      <c r="E659" s="642" t="str">
        <f t="shared" si="45"/>
        <v>Market Price Effects - Wholesale Energy</v>
      </c>
      <c r="F659" s="303"/>
      <c r="G659" s="306"/>
      <c r="H659" s="310"/>
      <c r="I659" s="308">
        <v>8588.2352941176578</v>
      </c>
      <c r="J659" s="308">
        <v>8588.2352959525633</v>
      </c>
      <c r="K659" s="308">
        <v>8124.7156386993047</v>
      </c>
      <c r="L659" s="618">
        <v>8193.7490115814271</v>
      </c>
      <c r="M659" s="618">
        <v>8392.5884694304768</v>
      </c>
      <c r="N659" s="618">
        <v>8431.7178340658193</v>
      </c>
      <c r="O659" s="618">
        <v>8470.8471987011617</v>
      </c>
      <c r="P659" s="618">
        <v>8509.9765633365041</v>
      </c>
      <c r="Q659" s="618">
        <v>8549.1059279718465</v>
      </c>
      <c r="R659" s="618">
        <v>8588.235292607189</v>
      </c>
      <c r="S659" s="618">
        <v>8588.2352928530836</v>
      </c>
      <c r="T659" s="618">
        <v>8588.2352930989782</v>
      </c>
      <c r="U659" s="618">
        <v>8588.2352933448728</v>
      </c>
      <c r="V659" s="618">
        <v>8588.2352935907675</v>
      </c>
      <c r="W659" s="618">
        <v>8588.2352938366621</v>
      </c>
      <c r="X659" s="618">
        <v>8588.2352936303414</v>
      </c>
      <c r="Y659" s="618">
        <v>8588.2352934240207</v>
      </c>
      <c r="Z659" s="618">
        <v>8588.2352932177018</v>
      </c>
      <c r="AA659" s="618">
        <v>8588.2352930113811</v>
      </c>
      <c r="AB659" s="308">
        <v>8588.2352928050605</v>
      </c>
      <c r="AC659" s="309"/>
      <c r="AD659" s="309"/>
      <c r="AE659" s="309"/>
      <c r="AF659" s="309"/>
      <c r="AG659" s="309"/>
      <c r="AH659" s="309"/>
      <c r="AI659" s="309"/>
      <c r="AJ659" s="309"/>
      <c r="AK659" s="309"/>
      <c r="AL659" s="309"/>
      <c r="AM659" s="309"/>
      <c r="AN659" s="309"/>
      <c r="AO659" s="309"/>
      <c r="AP659" s="163"/>
    </row>
    <row r="660" spans="2:42" x14ac:dyDescent="0.3">
      <c r="B660" s="6"/>
      <c r="C660" s="6"/>
      <c r="D660" s="6">
        <f t="shared" si="46"/>
        <v>16</v>
      </c>
      <c r="E660" s="643" t="str">
        <f t="shared" si="45"/>
        <v>Market Price Effects - Wholesale Capacity</v>
      </c>
      <c r="F660" s="303"/>
      <c r="I660" s="308">
        <v>0</v>
      </c>
      <c r="J660" s="308">
        <v>0</v>
      </c>
      <c r="K660" s="308">
        <v>0</v>
      </c>
      <c r="L660" s="618">
        <v>0</v>
      </c>
      <c r="M660" s="618">
        <v>0</v>
      </c>
      <c r="N660" s="618">
        <v>0</v>
      </c>
      <c r="O660" s="618">
        <v>0</v>
      </c>
      <c r="P660" s="618">
        <v>0</v>
      </c>
      <c r="Q660" s="618">
        <v>0</v>
      </c>
      <c r="R660" s="618">
        <v>0</v>
      </c>
      <c r="S660" s="618">
        <v>0</v>
      </c>
      <c r="T660" s="618">
        <v>0</v>
      </c>
      <c r="U660" s="618">
        <v>0</v>
      </c>
      <c r="V660" s="618">
        <v>0</v>
      </c>
      <c r="W660" s="618">
        <v>0</v>
      </c>
      <c r="X660" s="618">
        <v>0</v>
      </c>
      <c r="Y660" s="618">
        <v>0</v>
      </c>
      <c r="Z660" s="618">
        <v>0</v>
      </c>
      <c r="AA660" s="618">
        <v>0</v>
      </c>
      <c r="AB660" s="308">
        <v>0</v>
      </c>
      <c r="AC660" s="309"/>
      <c r="AD660" s="309"/>
      <c r="AE660" s="309"/>
      <c r="AF660" s="309"/>
      <c r="AG660" s="309"/>
      <c r="AH660" s="309"/>
      <c r="AI660" s="309"/>
      <c r="AJ660" s="309"/>
      <c r="AK660" s="309"/>
      <c r="AL660" s="309"/>
      <c r="AM660" s="309"/>
      <c r="AN660" s="309"/>
      <c r="AO660" s="309"/>
      <c r="AP660" s="163"/>
    </row>
    <row r="661" spans="2:42" x14ac:dyDescent="0.3">
      <c r="B661" s="6"/>
      <c r="C661" s="6"/>
      <c r="D661" s="6">
        <f t="shared" si="46"/>
        <v>16</v>
      </c>
      <c r="E661" s="640" t="str">
        <f t="shared" si="45"/>
        <v>Disharge MWh</v>
      </c>
      <c r="I661" s="505"/>
      <c r="J661" s="505"/>
      <c r="K661" s="505"/>
      <c r="L661" s="505"/>
      <c r="M661" s="505"/>
      <c r="N661" s="505"/>
      <c r="O661" s="505"/>
      <c r="P661" s="505"/>
      <c r="Q661" s="505"/>
      <c r="R661" s="505"/>
      <c r="S661" s="505"/>
      <c r="T661" s="505"/>
      <c r="U661" s="505"/>
      <c r="V661" s="505"/>
      <c r="W661" s="505"/>
      <c r="X661" s="505"/>
      <c r="Y661" s="505"/>
      <c r="Z661" s="505"/>
      <c r="AA661" s="505"/>
      <c r="AB661" s="505"/>
      <c r="AC661" s="15"/>
      <c r="AD661" s="15"/>
      <c r="AE661" s="15"/>
      <c r="AF661" s="15"/>
      <c r="AG661" s="15"/>
      <c r="AH661" s="15"/>
      <c r="AI661" s="15"/>
      <c r="AJ661" s="15"/>
      <c r="AK661" s="15"/>
      <c r="AL661" s="15"/>
      <c r="AM661" s="15"/>
      <c r="AN661" s="15"/>
      <c r="AO661" s="15"/>
      <c r="AP661" s="163"/>
    </row>
    <row r="662" spans="2:42" x14ac:dyDescent="0.3">
      <c r="B662" s="6"/>
      <c r="C662" s="6"/>
      <c r="D662" s="6">
        <f t="shared" si="46"/>
        <v>16</v>
      </c>
      <c r="E662" s="641" t="str">
        <f t="shared" si="45"/>
        <v>Total ESS DCharge MWh</v>
      </c>
      <c r="I662" s="308">
        <v>7299.9999999999918</v>
      </c>
      <c r="J662" s="308">
        <v>7300.000002924302</v>
      </c>
      <c r="K662" s="308">
        <v>6906.0083020119055</v>
      </c>
      <c r="L662" s="618">
        <v>6964.6866598442139</v>
      </c>
      <c r="M662" s="618">
        <v>7133.7002056461761</v>
      </c>
      <c r="N662" s="618">
        <v>7166.9601650898194</v>
      </c>
      <c r="O662" s="618">
        <v>7200.2201245334627</v>
      </c>
      <c r="P662" s="618">
        <v>7233.4800839771051</v>
      </c>
      <c r="Q662" s="618">
        <v>7266.7400434207484</v>
      </c>
      <c r="R662" s="618">
        <v>7300.0000028643917</v>
      </c>
      <c r="S662" s="618">
        <v>7300.0000025638747</v>
      </c>
      <c r="T662" s="618">
        <v>7300.0000022633567</v>
      </c>
      <c r="U662" s="618">
        <v>7300.0000019628396</v>
      </c>
      <c r="V662" s="618">
        <v>7300.0000016623217</v>
      </c>
      <c r="W662" s="618">
        <v>7300.0000013618046</v>
      </c>
      <c r="X662" s="618">
        <v>7300.0000012753935</v>
      </c>
      <c r="Y662" s="618">
        <v>7300.0000011889824</v>
      </c>
      <c r="Z662" s="618">
        <v>7300.0000011025713</v>
      </c>
      <c r="AA662" s="618">
        <v>7300.0000010161602</v>
      </c>
      <c r="AB662" s="308">
        <v>7300.0000009297491</v>
      </c>
      <c r="AC662" s="309"/>
      <c r="AD662" s="309"/>
      <c r="AE662" s="309"/>
      <c r="AF662" s="309"/>
      <c r="AG662" s="309"/>
      <c r="AH662" s="309"/>
      <c r="AI662" s="309"/>
      <c r="AJ662" s="309"/>
      <c r="AK662" s="309"/>
      <c r="AL662" s="309"/>
      <c r="AM662" s="309"/>
      <c r="AN662" s="309"/>
      <c r="AO662" s="309"/>
      <c r="AP662" s="163"/>
    </row>
    <row r="663" spans="2:42" x14ac:dyDescent="0.3">
      <c r="B663" s="6"/>
      <c r="C663" s="6"/>
      <c r="D663" s="6">
        <f t="shared" si="46"/>
        <v>16</v>
      </c>
      <c r="E663" s="642" t="str">
        <f t="shared" si="45"/>
        <v>Avg Generation Capacity</v>
      </c>
      <c r="F663" s="303"/>
      <c r="I663" s="308">
        <v>4.9953702541371809</v>
      </c>
      <c r="J663" s="308">
        <v>4.9999942813902578</v>
      </c>
      <c r="K663" s="308">
        <v>3.9999206252529849</v>
      </c>
      <c r="L663" s="618">
        <v>3.9999048513605509</v>
      </c>
      <c r="M663" s="618">
        <v>3.9999015026856042</v>
      </c>
      <c r="N663" s="618">
        <v>3.9995384691277693</v>
      </c>
      <c r="O663" s="618">
        <v>3.9991754355699349</v>
      </c>
      <c r="P663" s="618">
        <v>3.9988124020121005</v>
      </c>
      <c r="Q663" s="618">
        <v>3.9984493684542661</v>
      </c>
      <c r="R663" s="618">
        <v>3.9980863348964317</v>
      </c>
      <c r="S663" s="618">
        <v>3.9983250991592776</v>
      </c>
      <c r="T663" s="618">
        <v>3.9985638634221239</v>
      </c>
      <c r="U663" s="618">
        <v>3.9988026276849693</v>
      </c>
      <c r="V663" s="618">
        <v>3.3325344932898466</v>
      </c>
      <c r="W663" s="618">
        <v>3.3327334635088848</v>
      </c>
      <c r="X663" s="618">
        <v>3.3328349930656973</v>
      </c>
      <c r="Y663" s="618">
        <v>3.3329365226225107</v>
      </c>
      <c r="Z663" s="618">
        <v>3.3330380521793237</v>
      </c>
      <c r="AA663" s="618">
        <v>3.3331395817361367</v>
      </c>
      <c r="AB663" s="308">
        <v>3.3332411112929496</v>
      </c>
      <c r="AC663" s="309"/>
      <c r="AD663" s="309"/>
      <c r="AE663" s="309"/>
      <c r="AF663" s="309"/>
      <c r="AG663" s="309"/>
      <c r="AH663" s="309"/>
      <c r="AI663" s="309"/>
      <c r="AJ663" s="309"/>
      <c r="AK663" s="309"/>
      <c r="AL663" s="309"/>
      <c r="AM663" s="309"/>
      <c r="AN663" s="309"/>
      <c r="AO663" s="309"/>
      <c r="AP663" s="163"/>
    </row>
    <row r="664" spans="2:42" x14ac:dyDescent="0.3">
      <c r="B664" s="6"/>
      <c r="C664" s="6"/>
      <c r="D664" s="6">
        <f t="shared" si="46"/>
        <v>16</v>
      </c>
      <c r="E664" s="642" t="str">
        <f t="shared" si="45"/>
        <v>Avg Transmission Capacity</v>
      </c>
      <c r="F664" s="303"/>
      <c r="I664" s="308">
        <v>4.9953702541371809</v>
      </c>
      <c r="J664" s="308">
        <v>4.9999942813902578</v>
      </c>
      <c r="K664" s="308">
        <v>3.9999206252529849</v>
      </c>
      <c r="L664" s="618">
        <v>3.9999048513605509</v>
      </c>
      <c r="M664" s="618">
        <v>3.9999015026856042</v>
      </c>
      <c r="N664" s="618">
        <v>3.9995384691277693</v>
      </c>
      <c r="O664" s="618">
        <v>3.9991754355699349</v>
      </c>
      <c r="P664" s="618">
        <v>3.9988124020121005</v>
      </c>
      <c r="Q664" s="618">
        <v>3.9984493684542661</v>
      </c>
      <c r="R664" s="618">
        <v>3.9980863348964317</v>
      </c>
      <c r="S664" s="618">
        <v>3.9983250991592776</v>
      </c>
      <c r="T664" s="618">
        <v>3.9985638634221239</v>
      </c>
      <c r="U664" s="618">
        <v>3.9988026276849693</v>
      </c>
      <c r="V664" s="618">
        <v>3.3325344932898466</v>
      </c>
      <c r="W664" s="618">
        <v>3.3327334635088848</v>
      </c>
      <c r="X664" s="618">
        <v>3.3328349930656973</v>
      </c>
      <c r="Y664" s="618">
        <v>3.3329365226225107</v>
      </c>
      <c r="Z664" s="618">
        <v>3.3330380521793237</v>
      </c>
      <c r="AA664" s="618">
        <v>3.3331395817361367</v>
      </c>
      <c r="AB664" s="308">
        <v>3.3332411112929496</v>
      </c>
      <c r="AC664" s="309"/>
      <c r="AD664" s="309"/>
      <c r="AE664" s="309"/>
      <c r="AF664" s="309"/>
      <c r="AG664" s="309"/>
      <c r="AH664" s="309"/>
      <c r="AI664" s="309"/>
      <c r="AJ664" s="309"/>
      <c r="AK664" s="309"/>
      <c r="AL664" s="309"/>
      <c r="AM664" s="309"/>
      <c r="AN664" s="309"/>
      <c r="AO664" s="309"/>
      <c r="AP664" s="163"/>
    </row>
    <row r="665" spans="2:42" x14ac:dyDescent="0.3">
      <c r="B665" s="6"/>
      <c r="C665" s="6"/>
      <c r="D665" s="6">
        <f t="shared" si="46"/>
        <v>16</v>
      </c>
      <c r="E665" s="642" t="str">
        <f t="shared" si="45"/>
        <v>Avg Distribution Capacity</v>
      </c>
      <c r="F665" s="303"/>
      <c r="I665" s="308">
        <v>4.2095500716710363</v>
      </c>
      <c r="J665" s="308">
        <v>4.2982553340354759</v>
      </c>
      <c r="K665" s="308">
        <v>3.8958009412220611</v>
      </c>
      <c r="L665" s="618">
        <v>3.8923679696625495</v>
      </c>
      <c r="M665" s="618">
        <v>3.7560904482089565</v>
      </c>
      <c r="N665" s="618">
        <v>3.7746414741587624</v>
      </c>
      <c r="O665" s="618">
        <v>3.7931925001085691</v>
      </c>
      <c r="P665" s="618">
        <v>3.8117435260583754</v>
      </c>
      <c r="Q665" s="618">
        <v>3.8302945520081821</v>
      </c>
      <c r="R665" s="618">
        <v>3.8488455779579884</v>
      </c>
      <c r="S665" s="618">
        <v>3.8537496347816416</v>
      </c>
      <c r="T665" s="618">
        <v>3.8586536916052943</v>
      </c>
      <c r="U665" s="618">
        <v>3.8635577484289469</v>
      </c>
      <c r="V665" s="618">
        <v>3.2237181710438332</v>
      </c>
      <c r="W665" s="618">
        <v>3.2278048850635437</v>
      </c>
      <c r="X665" s="618">
        <v>3.180683152806671</v>
      </c>
      <c r="Y665" s="618">
        <v>3.1335614205497979</v>
      </c>
      <c r="Z665" s="618">
        <v>3.0864396882929248</v>
      </c>
      <c r="AA665" s="618">
        <v>3.0393179560360517</v>
      </c>
      <c r="AB665" s="308">
        <v>2.992196223779179</v>
      </c>
      <c r="AC665" s="309"/>
      <c r="AD665" s="309"/>
      <c r="AE665" s="309"/>
      <c r="AF665" s="309"/>
      <c r="AG665" s="309"/>
      <c r="AH665" s="309"/>
      <c r="AI665" s="309"/>
      <c r="AJ665" s="309"/>
      <c r="AK665" s="309"/>
      <c r="AL665" s="309"/>
      <c r="AM665" s="309"/>
      <c r="AN665" s="309"/>
      <c r="AO665" s="309"/>
      <c r="AP665" s="163"/>
    </row>
    <row r="666" spans="2:42" x14ac:dyDescent="0.3">
      <c r="B666" s="6"/>
      <c r="C666" s="6"/>
      <c r="D666" s="6">
        <f t="shared" si="46"/>
        <v>16</v>
      </c>
      <c r="E666" s="642" t="str">
        <f t="shared" si="45"/>
        <v>GHG Impacts</v>
      </c>
      <c r="F666" s="303"/>
      <c r="I666" s="308">
        <v>7300.0000000000091</v>
      </c>
      <c r="J666" s="308">
        <v>7300.0000029243338</v>
      </c>
      <c r="K666" s="308">
        <v>6906.0083020118973</v>
      </c>
      <c r="L666" s="618">
        <v>6964.415331400739</v>
      </c>
      <c r="M666" s="618">
        <v>7132.8674292145015</v>
      </c>
      <c r="N666" s="618">
        <v>7164.6419168434277</v>
      </c>
      <c r="O666" s="618">
        <v>7196.416404472353</v>
      </c>
      <c r="P666" s="618">
        <v>7228.1908921012791</v>
      </c>
      <c r="Q666" s="618">
        <v>7259.9653797302044</v>
      </c>
      <c r="R666" s="618">
        <v>7291.7398673591306</v>
      </c>
      <c r="S666" s="618">
        <v>7278.3057390780104</v>
      </c>
      <c r="T666" s="618">
        <v>7264.8716107968912</v>
      </c>
      <c r="U666" s="618">
        <v>7251.4374825157711</v>
      </c>
      <c r="V666" s="618">
        <v>7238.0033542346519</v>
      </c>
      <c r="W666" s="618">
        <v>7224.5692259535317</v>
      </c>
      <c r="X666" s="618">
        <v>7192.2612768963145</v>
      </c>
      <c r="Y666" s="618">
        <v>7159.9533278390973</v>
      </c>
      <c r="Z666" s="618">
        <v>7127.6453787818809</v>
      </c>
      <c r="AA666" s="618">
        <v>7095.3374297246637</v>
      </c>
      <c r="AB666" s="308">
        <v>7063.0294806674465</v>
      </c>
      <c r="AC666" s="309"/>
      <c r="AD666" s="309"/>
      <c r="AE666" s="309"/>
      <c r="AF666" s="309"/>
      <c r="AG666" s="309"/>
      <c r="AH666" s="309"/>
      <c r="AI666" s="309"/>
      <c r="AJ666" s="309"/>
      <c r="AK666" s="309"/>
      <c r="AL666" s="309"/>
      <c r="AM666" s="309"/>
      <c r="AN666" s="309"/>
      <c r="AO666" s="309"/>
      <c r="AP666" s="163"/>
    </row>
    <row r="667" spans="2:42" x14ac:dyDescent="0.3">
      <c r="B667" s="6"/>
      <c r="C667" s="6"/>
      <c r="D667" s="6">
        <f t="shared" si="46"/>
        <v>16</v>
      </c>
      <c r="E667" s="642" t="str">
        <f t="shared" si="45"/>
        <v>Market Price Effects - Wholesale Energy</v>
      </c>
      <c r="F667" s="303"/>
      <c r="I667" s="308">
        <v>7300.0000000000109</v>
      </c>
      <c r="J667" s="308">
        <v>7300.0000029243338</v>
      </c>
      <c r="K667" s="308">
        <v>6906.0083020118973</v>
      </c>
      <c r="L667" s="618">
        <v>6964.686659844213</v>
      </c>
      <c r="M667" s="618">
        <v>7133.7002056461733</v>
      </c>
      <c r="N667" s="618">
        <v>7166.9601650898103</v>
      </c>
      <c r="O667" s="618">
        <v>7200.2201245334472</v>
      </c>
      <c r="P667" s="618">
        <v>7233.4800839770833</v>
      </c>
      <c r="Q667" s="618">
        <v>7266.7400434207202</v>
      </c>
      <c r="R667" s="618">
        <v>7300.0000028643572</v>
      </c>
      <c r="S667" s="618">
        <v>7300.0000025638446</v>
      </c>
      <c r="T667" s="618">
        <v>7300.0000022633312</v>
      </c>
      <c r="U667" s="618">
        <v>7300.0000019628187</v>
      </c>
      <c r="V667" s="618">
        <v>7300.0000016623053</v>
      </c>
      <c r="W667" s="618">
        <v>7300.0000013617928</v>
      </c>
      <c r="X667" s="618">
        <v>7300.0000012753835</v>
      </c>
      <c r="Y667" s="618">
        <v>7300.0000011889742</v>
      </c>
      <c r="Z667" s="618">
        <v>7300.000001102565</v>
      </c>
      <c r="AA667" s="618">
        <v>7300.0000010161557</v>
      </c>
      <c r="AB667" s="308">
        <v>7300.0000009297464</v>
      </c>
      <c r="AC667" s="309"/>
      <c r="AD667" s="309"/>
      <c r="AE667" s="309"/>
      <c r="AF667" s="309"/>
      <c r="AG667" s="309"/>
      <c r="AH667" s="309"/>
      <c r="AI667" s="309"/>
      <c r="AJ667" s="309"/>
      <c r="AK667" s="309"/>
      <c r="AL667" s="309"/>
      <c r="AM667" s="309"/>
      <c r="AN667" s="309"/>
      <c r="AO667" s="309"/>
      <c r="AP667" s="163"/>
    </row>
    <row r="668" spans="2:42" x14ac:dyDescent="0.3">
      <c r="B668" s="6"/>
      <c r="C668" s="6"/>
      <c r="D668" s="6">
        <f t="shared" si="46"/>
        <v>16</v>
      </c>
      <c r="E668" s="642" t="str">
        <f t="shared" si="45"/>
        <v>Market Price Effects - Wholesale Capacity</v>
      </c>
      <c r="F668" s="303"/>
      <c r="I668" s="308">
        <v>0</v>
      </c>
      <c r="J668" s="308">
        <v>0</v>
      </c>
      <c r="K668" s="308">
        <v>0</v>
      </c>
      <c r="L668" s="618">
        <v>0</v>
      </c>
      <c r="M668" s="618">
        <v>0</v>
      </c>
      <c r="N668" s="618">
        <v>0</v>
      </c>
      <c r="O668" s="618">
        <v>0</v>
      </c>
      <c r="P668" s="618">
        <v>0</v>
      </c>
      <c r="Q668" s="618">
        <v>0</v>
      </c>
      <c r="R668" s="618">
        <v>0</v>
      </c>
      <c r="S668" s="618">
        <v>0</v>
      </c>
      <c r="T668" s="618">
        <v>0</v>
      </c>
      <c r="U668" s="618">
        <v>0</v>
      </c>
      <c r="V668" s="618">
        <v>0</v>
      </c>
      <c r="W668" s="618">
        <v>0</v>
      </c>
      <c r="X668" s="618">
        <v>0</v>
      </c>
      <c r="Y668" s="618">
        <v>0</v>
      </c>
      <c r="Z668" s="618">
        <v>0</v>
      </c>
      <c r="AA668" s="618">
        <v>0</v>
      </c>
      <c r="AB668" s="308">
        <v>0</v>
      </c>
      <c r="AC668" s="309"/>
      <c r="AD668" s="309"/>
      <c r="AE668" s="309"/>
      <c r="AF668" s="309"/>
      <c r="AG668" s="309"/>
      <c r="AH668" s="309"/>
      <c r="AI668" s="309"/>
      <c r="AJ668" s="309"/>
      <c r="AK668" s="309"/>
      <c r="AL668" s="309"/>
      <c r="AM668" s="309"/>
      <c r="AN668" s="309"/>
      <c r="AO668" s="309"/>
      <c r="AP668" s="163"/>
    </row>
    <row r="669" spans="2:42" x14ac:dyDescent="0.3">
      <c r="B669" s="6"/>
      <c r="C669" s="6"/>
      <c r="D669" s="6">
        <f t="shared" si="46"/>
        <v>16</v>
      </c>
      <c r="E669" s="544"/>
      <c r="F669" s="545"/>
      <c r="G669" s="545"/>
      <c r="H669" s="545"/>
      <c r="I669" s="545"/>
      <c r="J669" s="545"/>
      <c r="K669" s="545"/>
      <c r="L669" s="545"/>
      <c r="M669" s="545"/>
      <c r="N669" s="545"/>
      <c r="O669" s="545"/>
      <c r="P669" s="545"/>
      <c r="Q669" s="545"/>
      <c r="R669" s="545"/>
      <c r="S669" s="545"/>
      <c r="T669" s="545"/>
      <c r="U669" s="545"/>
      <c r="V669" s="545"/>
      <c r="W669" s="545"/>
      <c r="X669" s="545"/>
      <c r="Y669" s="545"/>
      <c r="Z669" s="545"/>
      <c r="AA669" s="545"/>
      <c r="AB669" s="545"/>
      <c r="AC669" s="545"/>
      <c r="AD669" s="545"/>
      <c r="AE669" s="545"/>
      <c r="AF669" s="545"/>
      <c r="AG669" s="545"/>
      <c r="AH669" s="545"/>
      <c r="AI669" s="545"/>
      <c r="AJ669" s="545"/>
      <c r="AK669" s="545"/>
      <c r="AL669" s="545"/>
      <c r="AM669" s="545"/>
      <c r="AN669" s="545"/>
      <c r="AO669" s="545"/>
      <c r="AP669" s="543"/>
    </row>
    <row r="670" spans="2:42" ht="21" x14ac:dyDescent="0.4">
      <c r="B670" s="6" t="s">
        <v>611</v>
      </c>
      <c r="C670" s="6"/>
      <c r="D670" s="6">
        <f t="shared" si="46"/>
        <v>17</v>
      </c>
      <c r="E670" s="632" t="str">
        <f>_xlfn.CONCAT(revenueSimulationID," ",$D670,"|",INDEX(StdConfigDesc,$D670,$E$29))</f>
        <v>Case 17|Residential - Large (25 kW / 50 kWh) - Sensitivity</v>
      </c>
      <c r="F670" s="633"/>
      <c r="G670" s="633"/>
      <c r="H670" s="633"/>
      <c r="I670" s="633"/>
      <c r="J670" s="633"/>
      <c r="K670" s="633"/>
      <c r="L670" s="633"/>
      <c r="M670" s="633"/>
      <c r="N670" s="633"/>
      <c r="O670" s="633"/>
      <c r="P670" s="633"/>
      <c r="Q670" s="633"/>
      <c r="R670" s="633"/>
      <c r="S670" s="633"/>
      <c r="T670" s="633"/>
      <c r="U670" s="633"/>
      <c r="V670" s="633"/>
      <c r="W670" s="633"/>
      <c r="X670" s="633"/>
      <c r="Y670" s="633"/>
      <c r="Z670" s="633"/>
      <c r="AA670" s="633"/>
      <c r="AB670" s="633"/>
      <c r="AC670" s="633"/>
      <c r="AD670" s="633"/>
      <c r="AE670" s="633"/>
      <c r="AF670" s="633"/>
      <c r="AG670" s="633"/>
      <c r="AH670" s="633"/>
      <c r="AI670" s="633"/>
      <c r="AJ670" s="633"/>
      <c r="AK670" s="633"/>
      <c r="AL670" s="633"/>
      <c r="AM670" s="633"/>
      <c r="AN670" s="633"/>
      <c r="AO670" s="633"/>
      <c r="AP670" s="634"/>
    </row>
    <row r="671" spans="2:42" ht="25.8" x14ac:dyDescent="0.5">
      <c r="B671" s="6"/>
      <c r="C671" s="6"/>
      <c r="D671" s="6">
        <f t="shared" si="46"/>
        <v>17</v>
      </c>
      <c r="E671" s="635"/>
      <c r="F671" s="2">
        <v>2025</v>
      </c>
      <c r="G671" s="2">
        <f>F671+1</f>
        <v>2026</v>
      </c>
      <c r="H671" s="2">
        <f t="shared" ref="H671" si="47">G671+1</f>
        <v>2027</v>
      </c>
      <c r="I671" s="2">
        <f t="shared" ref="I671" si="48">H671+1</f>
        <v>2028</v>
      </c>
      <c r="J671" s="2">
        <f t="shared" ref="J671" si="49">I671+1</f>
        <v>2029</v>
      </c>
      <c r="K671" s="2">
        <f t="shared" ref="K671" si="50">J671+1</f>
        <v>2030</v>
      </c>
      <c r="L671" s="2">
        <f t="shared" ref="L671" si="51">K671+1</f>
        <v>2031</v>
      </c>
      <c r="M671" s="2">
        <f t="shared" ref="M671" si="52">L671+1</f>
        <v>2032</v>
      </c>
      <c r="N671" s="2">
        <f t="shared" ref="N671" si="53">M671+1</f>
        <v>2033</v>
      </c>
      <c r="O671" s="2">
        <f t="shared" ref="O671" si="54">N671+1</f>
        <v>2034</v>
      </c>
      <c r="P671" s="2">
        <f t="shared" ref="P671" si="55">O671+1</f>
        <v>2035</v>
      </c>
      <c r="Q671" s="2">
        <f t="shared" ref="Q671" si="56">P671+1</f>
        <v>2036</v>
      </c>
      <c r="R671" s="2">
        <f t="shared" ref="R671" si="57">Q671+1</f>
        <v>2037</v>
      </c>
      <c r="S671" s="2">
        <f t="shared" ref="S671" si="58">R671+1</f>
        <v>2038</v>
      </c>
      <c r="T671" s="2">
        <f t="shared" ref="T671" si="59">S671+1</f>
        <v>2039</v>
      </c>
      <c r="U671" s="2">
        <f t="shared" ref="U671" si="60">T671+1</f>
        <v>2040</v>
      </c>
      <c r="V671" s="2">
        <f t="shared" ref="V671" si="61">U671+1</f>
        <v>2041</v>
      </c>
      <c r="W671" s="2">
        <f t="shared" ref="W671" si="62">V671+1</f>
        <v>2042</v>
      </c>
      <c r="X671" s="2">
        <f t="shared" ref="X671" si="63">W671+1</f>
        <v>2043</v>
      </c>
      <c r="Y671" s="2">
        <f t="shared" ref="Y671" si="64">X671+1</f>
        <v>2044</v>
      </c>
      <c r="Z671" s="2">
        <f t="shared" ref="Z671" si="65">Y671+1</f>
        <v>2045</v>
      </c>
      <c r="AA671" s="2">
        <f t="shared" ref="AA671" si="66">Z671+1</f>
        <v>2046</v>
      </c>
      <c r="AB671" s="2">
        <f t="shared" ref="AB671" si="67">AA671+1</f>
        <v>2047</v>
      </c>
      <c r="AC671" s="2">
        <f t="shared" ref="AC671" si="68">AB671+1</f>
        <v>2048</v>
      </c>
      <c r="AD671" s="2">
        <f t="shared" ref="AD671" si="69">AC671+1</f>
        <v>2049</v>
      </c>
      <c r="AE671" s="2">
        <f t="shared" ref="AE671" si="70">AD671+1</f>
        <v>2050</v>
      </c>
      <c r="AF671" s="2">
        <f t="shared" ref="AF671" si="71">AE671+1</f>
        <v>2051</v>
      </c>
      <c r="AG671" s="2">
        <f t="shared" ref="AG671" si="72">AF671+1</f>
        <v>2052</v>
      </c>
      <c r="AH671" s="2">
        <f t="shared" ref="AH671" si="73">AG671+1</f>
        <v>2053</v>
      </c>
      <c r="AI671" s="2">
        <f t="shared" ref="AI671" si="74">AH671+1</f>
        <v>2054</v>
      </c>
      <c r="AJ671" s="2">
        <f t="shared" ref="AJ671" si="75">AI671+1</f>
        <v>2055</v>
      </c>
      <c r="AK671" s="2">
        <f t="shared" ref="AK671" si="76">AJ671+1</f>
        <v>2056</v>
      </c>
      <c r="AL671" s="2">
        <f t="shared" ref="AL671" si="77">AK671+1</f>
        <v>2057</v>
      </c>
      <c r="AM671" s="2">
        <f t="shared" ref="AM671" si="78">AL671+1</f>
        <v>2058</v>
      </c>
      <c r="AN671" s="2">
        <f t="shared" ref="AN671" si="79">AM671+1</f>
        <v>2059</v>
      </c>
      <c r="AO671" s="2">
        <f t="shared" ref="AO671" si="80">AN671+1</f>
        <v>2060</v>
      </c>
      <c r="AP671" s="163"/>
    </row>
    <row r="672" spans="2:42" x14ac:dyDescent="0.3">
      <c r="B672" s="6"/>
      <c r="C672" s="6"/>
      <c r="D672" s="6">
        <f t="shared" si="46"/>
        <v>17</v>
      </c>
      <c r="E672" s="636" t="str">
        <f>E632</f>
        <v>Capacity - PJM Market</v>
      </c>
      <c r="F672" s="302"/>
      <c r="G672" s="302"/>
      <c r="H672" s="302"/>
      <c r="I672" s="302">
        <v>0</v>
      </c>
      <c r="J672" s="302">
        <v>0</v>
      </c>
      <c r="K672" s="302">
        <v>0</v>
      </c>
      <c r="L672" s="302">
        <v>0</v>
      </c>
      <c r="M672" s="302">
        <v>0</v>
      </c>
      <c r="N672" s="302">
        <v>0</v>
      </c>
      <c r="O672" s="302">
        <v>0</v>
      </c>
      <c r="P672" s="302">
        <v>0</v>
      </c>
      <c r="Q672" s="302">
        <v>0</v>
      </c>
      <c r="R672" s="302">
        <v>0</v>
      </c>
      <c r="S672" s="302">
        <v>0</v>
      </c>
      <c r="T672" s="302">
        <v>0</v>
      </c>
      <c r="U672" s="302">
        <v>0</v>
      </c>
      <c r="V672" s="302">
        <v>0</v>
      </c>
      <c r="W672" s="302">
        <v>0</v>
      </c>
      <c r="X672" s="302">
        <v>0</v>
      </c>
      <c r="Y672" s="302">
        <v>0</v>
      </c>
      <c r="Z672" s="302">
        <v>0</v>
      </c>
      <c r="AA672" s="302">
        <v>0</v>
      </c>
      <c r="AB672" s="302">
        <v>0</v>
      </c>
      <c r="AC672" s="302">
        <v>0</v>
      </c>
      <c r="AD672" s="302">
        <v>0</v>
      </c>
      <c r="AE672" s="302">
        <v>0</v>
      </c>
      <c r="AF672" s="302">
        <v>0</v>
      </c>
      <c r="AG672" s="302">
        <v>0</v>
      </c>
      <c r="AH672" s="302">
        <v>0</v>
      </c>
      <c r="AI672" s="302">
        <v>0</v>
      </c>
      <c r="AJ672" s="302">
        <v>0</v>
      </c>
      <c r="AK672" s="302">
        <v>0</v>
      </c>
      <c r="AL672" s="302">
        <v>0</v>
      </c>
      <c r="AM672" s="302">
        <v>0</v>
      </c>
      <c r="AN672" s="302">
        <v>0</v>
      </c>
      <c r="AO672" s="302">
        <v>0</v>
      </c>
      <c r="AP672" s="163"/>
    </row>
    <row r="673" spans="2:42" x14ac:dyDescent="0.3">
      <c r="B673" s="6"/>
      <c r="C673" s="6"/>
      <c r="D673" s="6">
        <f t="shared" si="46"/>
        <v>17</v>
      </c>
      <c r="E673" s="636" t="str">
        <f t="shared" ref="E673:E708" si="81">E633</f>
        <v>Energy Arbitrage - PJM Market</v>
      </c>
      <c r="F673" s="303"/>
      <c r="G673" s="304"/>
      <c r="H673" s="304"/>
      <c r="I673" s="304">
        <v>0</v>
      </c>
      <c r="J673" s="304">
        <v>0</v>
      </c>
      <c r="K673" s="304">
        <v>0</v>
      </c>
      <c r="L673" s="304">
        <v>0</v>
      </c>
      <c r="M673" s="304">
        <v>0</v>
      </c>
      <c r="N673" s="304">
        <v>0</v>
      </c>
      <c r="O673" s="304">
        <v>0</v>
      </c>
      <c r="P673" s="304">
        <v>0</v>
      </c>
      <c r="Q673" s="304">
        <v>0</v>
      </c>
      <c r="R673" s="304">
        <v>0</v>
      </c>
      <c r="S673" s="304">
        <v>0</v>
      </c>
      <c r="T673" s="304">
        <v>0</v>
      </c>
      <c r="U673" s="304">
        <v>0</v>
      </c>
      <c r="V673" s="304">
        <v>0</v>
      </c>
      <c r="W673" s="304">
        <v>0</v>
      </c>
      <c r="X673" s="304">
        <v>0</v>
      </c>
      <c r="Y673" s="304">
        <v>0</v>
      </c>
      <c r="Z673" s="304">
        <v>0</v>
      </c>
      <c r="AA673" s="304">
        <v>0</v>
      </c>
      <c r="AB673" s="304"/>
      <c r="AC673" s="304"/>
      <c r="AD673" s="304"/>
      <c r="AE673" s="304"/>
      <c r="AF673" s="304"/>
      <c r="AG673" s="304"/>
      <c r="AH673" s="304"/>
      <c r="AI673" s="304"/>
      <c r="AJ673" s="304"/>
      <c r="AK673" s="304"/>
      <c r="AL673" s="304"/>
      <c r="AM673" s="304"/>
      <c r="AN673" s="304"/>
      <c r="AO673" s="304"/>
      <c r="AP673" s="163"/>
    </row>
    <row r="674" spans="2:42" x14ac:dyDescent="0.3">
      <c r="B674" s="6"/>
      <c r="C674" s="6"/>
      <c r="D674" s="6">
        <f t="shared" si="46"/>
        <v>17</v>
      </c>
      <c r="E674" s="636" t="str">
        <f t="shared" si="81"/>
        <v>Spin- PJM Market</v>
      </c>
      <c r="F674" s="303"/>
      <c r="G674" s="304"/>
      <c r="H674" s="304"/>
      <c r="I674" s="304">
        <v>0</v>
      </c>
      <c r="J674" s="304">
        <v>0</v>
      </c>
      <c r="K674" s="304">
        <v>0</v>
      </c>
      <c r="L674" s="304">
        <v>0</v>
      </c>
      <c r="M674" s="304">
        <v>0</v>
      </c>
      <c r="N674" s="304">
        <v>0</v>
      </c>
      <c r="O674" s="304">
        <v>0</v>
      </c>
      <c r="P674" s="304">
        <v>0</v>
      </c>
      <c r="Q674" s="304">
        <v>0</v>
      </c>
      <c r="R674" s="304">
        <v>0</v>
      </c>
      <c r="S674" s="304">
        <v>0</v>
      </c>
      <c r="T674" s="304">
        <v>0</v>
      </c>
      <c r="U674" s="304">
        <v>0</v>
      </c>
      <c r="V674" s="304">
        <v>0</v>
      </c>
      <c r="W674" s="304">
        <v>0</v>
      </c>
      <c r="X674" s="304">
        <v>0</v>
      </c>
      <c r="Y674" s="304">
        <v>0</v>
      </c>
      <c r="Z674" s="304">
        <v>0</v>
      </c>
      <c r="AA674" s="304">
        <v>0</v>
      </c>
      <c r="AB674" s="304"/>
      <c r="AC674" s="304"/>
      <c r="AD674" s="304"/>
      <c r="AE674" s="304"/>
      <c r="AF674" s="304"/>
      <c r="AG674" s="304"/>
      <c r="AH674" s="304"/>
      <c r="AI674" s="304"/>
      <c r="AJ674" s="304"/>
      <c r="AK674" s="304"/>
      <c r="AL674" s="304"/>
      <c r="AM674" s="304"/>
      <c r="AN674" s="304"/>
      <c r="AO674" s="304"/>
      <c r="AP674" s="163"/>
    </row>
    <row r="675" spans="2:42" x14ac:dyDescent="0.3">
      <c r="B675" s="6"/>
      <c r="C675" s="6"/>
      <c r="D675" s="6">
        <f t="shared" si="46"/>
        <v>17</v>
      </c>
      <c r="E675" s="636" t="str">
        <f t="shared" si="81"/>
        <v>Non-Spin - PJM Market</v>
      </c>
      <c r="F675" s="303"/>
      <c r="G675" s="304"/>
      <c r="H675" s="304"/>
      <c r="I675" s="304">
        <v>0</v>
      </c>
      <c r="J675" s="304">
        <v>0</v>
      </c>
      <c r="K675" s="304">
        <v>0</v>
      </c>
      <c r="L675" s="304">
        <v>0</v>
      </c>
      <c r="M675" s="304">
        <v>0</v>
      </c>
      <c r="N675" s="304">
        <v>0</v>
      </c>
      <c r="O675" s="304">
        <v>0</v>
      </c>
      <c r="P675" s="304">
        <v>0</v>
      </c>
      <c r="Q675" s="304">
        <v>0</v>
      </c>
      <c r="R675" s="304">
        <v>0</v>
      </c>
      <c r="S675" s="304">
        <v>0</v>
      </c>
      <c r="T675" s="304">
        <v>0</v>
      </c>
      <c r="U675" s="304">
        <v>0</v>
      </c>
      <c r="V675" s="304">
        <v>0</v>
      </c>
      <c r="W675" s="304">
        <v>0</v>
      </c>
      <c r="X675" s="304">
        <v>0</v>
      </c>
      <c r="Y675" s="304">
        <v>0</v>
      </c>
      <c r="Z675" s="304">
        <v>0</v>
      </c>
      <c r="AA675" s="304">
        <v>0</v>
      </c>
      <c r="AB675" s="304"/>
      <c r="AC675" s="304"/>
      <c r="AD675" s="304"/>
      <c r="AE675" s="304"/>
      <c r="AF675" s="304"/>
      <c r="AG675" s="304"/>
      <c r="AH675" s="304"/>
      <c r="AI675" s="304"/>
      <c r="AJ675" s="304"/>
      <c r="AK675" s="304"/>
      <c r="AL675" s="304"/>
      <c r="AM675" s="304"/>
      <c r="AN675" s="304"/>
      <c r="AO675" s="304"/>
      <c r="AP675" s="163"/>
    </row>
    <row r="676" spans="2:42" x14ac:dyDescent="0.3">
      <c r="B676" s="6"/>
      <c r="C676" s="6"/>
      <c r="D676" s="6">
        <f t="shared" si="46"/>
        <v>17</v>
      </c>
      <c r="E676" s="636" t="str">
        <f t="shared" si="81"/>
        <v>Regulation - PJM Market</v>
      </c>
      <c r="F676" s="303"/>
      <c r="G676" s="304"/>
      <c r="H676" s="304"/>
      <c r="I676" s="304">
        <v>0</v>
      </c>
      <c r="J676" s="304">
        <v>0</v>
      </c>
      <c r="K676" s="304">
        <v>0</v>
      </c>
      <c r="L676" s="304">
        <v>0</v>
      </c>
      <c r="M676" s="304">
        <v>0</v>
      </c>
      <c r="N676" s="304">
        <v>0</v>
      </c>
      <c r="O676" s="304">
        <v>0</v>
      </c>
      <c r="P676" s="304">
        <v>0</v>
      </c>
      <c r="Q676" s="304">
        <v>0</v>
      </c>
      <c r="R676" s="304">
        <v>0</v>
      </c>
      <c r="S676" s="304">
        <v>0</v>
      </c>
      <c r="T676" s="304">
        <v>0</v>
      </c>
      <c r="U676" s="304">
        <v>0</v>
      </c>
      <c r="V676" s="304">
        <v>0</v>
      </c>
      <c r="W676" s="304">
        <v>0</v>
      </c>
      <c r="X676" s="304">
        <v>0</v>
      </c>
      <c r="Y676" s="304">
        <v>0</v>
      </c>
      <c r="Z676" s="304">
        <v>0</v>
      </c>
      <c r="AA676" s="304">
        <v>0</v>
      </c>
      <c r="AB676" s="304"/>
      <c r="AC676" s="304"/>
      <c r="AD676" s="304"/>
      <c r="AE676" s="304"/>
      <c r="AF676" s="304"/>
      <c r="AG676" s="304"/>
      <c r="AH676" s="304"/>
      <c r="AI676" s="304"/>
      <c r="AJ676" s="304"/>
      <c r="AK676" s="304"/>
      <c r="AL676" s="304"/>
      <c r="AM676" s="304"/>
      <c r="AN676" s="304"/>
      <c r="AO676" s="304"/>
      <c r="AP676" s="163"/>
    </row>
    <row r="677" spans="2:42" x14ac:dyDescent="0.3">
      <c r="B677" s="6"/>
      <c r="C677" s="6"/>
      <c r="D677" s="6">
        <f t="shared" si="46"/>
        <v>17</v>
      </c>
      <c r="E677" s="636" t="str">
        <f t="shared" si="81"/>
        <v>Incurred Energy Charges</v>
      </c>
      <c r="F677" s="303"/>
      <c r="G677" s="304"/>
      <c r="H677" s="304"/>
      <c r="I677" s="304">
        <v>0</v>
      </c>
      <c r="J677" s="304">
        <v>0</v>
      </c>
      <c r="K677" s="304">
        <v>0</v>
      </c>
      <c r="L677" s="304">
        <v>0</v>
      </c>
      <c r="M677" s="304">
        <v>0</v>
      </c>
      <c r="N677" s="304">
        <v>0</v>
      </c>
      <c r="O677" s="304">
        <v>0</v>
      </c>
      <c r="P677" s="304">
        <v>0</v>
      </c>
      <c r="Q677" s="304">
        <v>0</v>
      </c>
      <c r="R677" s="304">
        <v>0</v>
      </c>
      <c r="S677" s="304">
        <v>0</v>
      </c>
      <c r="T677" s="304">
        <v>0</v>
      </c>
      <c r="U677" s="304">
        <v>0</v>
      </c>
      <c r="V677" s="304">
        <v>0</v>
      </c>
      <c r="W677" s="304">
        <v>0</v>
      </c>
      <c r="X677" s="304">
        <v>0</v>
      </c>
      <c r="Y677" s="304">
        <v>0</v>
      </c>
      <c r="Z677" s="304">
        <v>0</v>
      </c>
      <c r="AA677" s="304">
        <v>0</v>
      </c>
      <c r="AB677" s="304"/>
      <c r="AC677" s="304"/>
      <c r="AD677" s="304"/>
      <c r="AE677" s="304"/>
      <c r="AF677" s="304"/>
      <c r="AG677" s="304"/>
      <c r="AH677" s="304"/>
      <c r="AI677" s="304"/>
      <c r="AJ677" s="304"/>
      <c r="AK677" s="304"/>
      <c r="AL677" s="304"/>
      <c r="AM677" s="304"/>
      <c r="AN677" s="304"/>
      <c r="AO677" s="304"/>
      <c r="AP677" s="163"/>
    </row>
    <row r="678" spans="2:42" x14ac:dyDescent="0.3">
      <c r="B678" s="6"/>
      <c r="C678" s="6"/>
      <c r="D678" s="6">
        <f t="shared" si="46"/>
        <v>17</v>
      </c>
      <c r="E678" s="636" t="str">
        <f t="shared" si="81"/>
        <v>As Used Demand Charges</v>
      </c>
      <c r="F678" s="303"/>
      <c r="G678" s="304"/>
      <c r="H678" s="304"/>
      <c r="I678" s="304">
        <v>0</v>
      </c>
      <c r="J678" s="304">
        <v>0</v>
      </c>
      <c r="K678" s="304">
        <v>0</v>
      </c>
      <c r="L678" s="304">
        <v>0</v>
      </c>
      <c r="M678" s="304">
        <v>0</v>
      </c>
      <c r="N678" s="304">
        <v>0</v>
      </c>
      <c r="O678" s="304">
        <v>0</v>
      </c>
      <c r="P678" s="304">
        <v>0</v>
      </c>
      <c r="Q678" s="304">
        <v>0</v>
      </c>
      <c r="R678" s="304">
        <v>0</v>
      </c>
      <c r="S678" s="304">
        <v>0</v>
      </c>
      <c r="T678" s="304">
        <v>0</v>
      </c>
      <c r="U678" s="304">
        <v>0</v>
      </c>
      <c r="V678" s="304">
        <v>0</v>
      </c>
      <c r="W678" s="304">
        <v>0</v>
      </c>
      <c r="X678" s="304">
        <v>0</v>
      </c>
      <c r="Y678" s="304">
        <v>0</v>
      </c>
      <c r="Z678" s="304">
        <v>0</v>
      </c>
      <c r="AA678" s="304">
        <v>0</v>
      </c>
      <c r="AB678" s="304"/>
      <c r="AC678" s="304"/>
      <c r="AD678" s="304"/>
      <c r="AE678" s="304"/>
      <c r="AF678" s="304"/>
      <c r="AG678" s="304"/>
      <c r="AH678" s="304"/>
      <c r="AI678" s="304"/>
      <c r="AJ678" s="304"/>
      <c r="AK678" s="304"/>
      <c r="AL678" s="304"/>
      <c r="AM678" s="304"/>
      <c r="AN678" s="304"/>
      <c r="AO678" s="304"/>
      <c r="AP678" s="163"/>
    </row>
    <row r="679" spans="2:42" x14ac:dyDescent="0.3">
      <c r="B679" s="6"/>
      <c r="C679" s="6"/>
      <c r="D679" s="6">
        <f t="shared" si="46"/>
        <v>17</v>
      </c>
      <c r="E679" s="636" t="str">
        <f t="shared" si="81"/>
        <v>Contract Demand Charges  Fixed</v>
      </c>
      <c r="F679" s="303"/>
      <c r="G679" s="304"/>
      <c r="H679" s="304"/>
      <c r="I679" s="304">
        <v>0</v>
      </c>
      <c r="J679" s="304">
        <v>0</v>
      </c>
      <c r="K679" s="304">
        <v>0</v>
      </c>
      <c r="L679" s="304">
        <v>0</v>
      </c>
      <c r="M679" s="304">
        <v>0</v>
      </c>
      <c r="N679" s="304">
        <v>0</v>
      </c>
      <c r="O679" s="304">
        <v>0</v>
      </c>
      <c r="P679" s="304">
        <v>0</v>
      </c>
      <c r="Q679" s="304">
        <v>0</v>
      </c>
      <c r="R679" s="304">
        <v>0</v>
      </c>
      <c r="S679" s="304">
        <v>0</v>
      </c>
      <c r="T679" s="304">
        <v>0</v>
      </c>
      <c r="U679" s="304">
        <v>0</v>
      </c>
      <c r="V679" s="304">
        <v>0</v>
      </c>
      <c r="W679" s="304">
        <v>0</v>
      </c>
      <c r="X679" s="304">
        <v>0</v>
      </c>
      <c r="Y679" s="304">
        <v>0</v>
      </c>
      <c r="Z679" s="304">
        <v>0</v>
      </c>
      <c r="AA679" s="304">
        <v>0</v>
      </c>
      <c r="AB679" s="304"/>
      <c r="AC679" s="304"/>
      <c r="AD679" s="304"/>
      <c r="AE679" s="304"/>
      <c r="AF679" s="304"/>
      <c r="AG679" s="304"/>
      <c r="AH679" s="304"/>
      <c r="AI679" s="304"/>
      <c r="AJ679" s="304"/>
      <c r="AK679" s="304"/>
      <c r="AL679" s="304"/>
      <c r="AM679" s="304"/>
      <c r="AN679" s="304"/>
      <c r="AO679" s="304"/>
      <c r="AP679" s="163"/>
    </row>
    <row r="680" spans="2:42" x14ac:dyDescent="0.3">
      <c r="B680" s="6"/>
      <c r="C680" s="6"/>
      <c r="D680" s="6">
        <f t="shared" si="46"/>
        <v>17</v>
      </c>
      <c r="E680" s="636" t="str">
        <f t="shared" si="81"/>
        <v>Customer Charges/ Fixed Charges</v>
      </c>
      <c r="F680" s="303"/>
      <c r="G680" s="304"/>
      <c r="H680" s="304"/>
      <c r="I680" s="304">
        <v>0</v>
      </c>
      <c r="J680" s="304">
        <v>0</v>
      </c>
      <c r="K680" s="304">
        <v>0</v>
      </c>
      <c r="L680" s="304">
        <v>0</v>
      </c>
      <c r="M680" s="304">
        <v>0</v>
      </c>
      <c r="N680" s="304">
        <v>0</v>
      </c>
      <c r="O680" s="304">
        <v>0</v>
      </c>
      <c r="P680" s="304">
        <v>0</v>
      </c>
      <c r="Q680" s="304">
        <v>0</v>
      </c>
      <c r="R680" s="304">
        <v>0</v>
      </c>
      <c r="S680" s="304">
        <v>0</v>
      </c>
      <c r="T680" s="304">
        <v>0</v>
      </c>
      <c r="U680" s="304">
        <v>0</v>
      </c>
      <c r="V680" s="304">
        <v>0</v>
      </c>
      <c r="W680" s="304">
        <v>0</v>
      </c>
      <c r="X680" s="304">
        <v>0</v>
      </c>
      <c r="Y680" s="304">
        <v>0</v>
      </c>
      <c r="Z680" s="304">
        <v>0</v>
      </c>
      <c r="AA680" s="304">
        <v>0</v>
      </c>
      <c r="AB680" s="304"/>
      <c r="AC680" s="304"/>
      <c r="AD680" s="304"/>
      <c r="AE680" s="304"/>
      <c r="AF680" s="304"/>
      <c r="AG680" s="304"/>
      <c r="AH680" s="304"/>
      <c r="AI680" s="304"/>
      <c r="AJ680" s="304"/>
      <c r="AK680" s="304"/>
      <c r="AL680" s="304"/>
      <c r="AM680" s="304"/>
      <c r="AN680" s="304"/>
      <c r="AO680" s="304"/>
      <c r="AP680" s="163"/>
    </row>
    <row r="681" spans="2:42" x14ac:dyDescent="0.3">
      <c r="B681" s="6"/>
      <c r="C681" s="6"/>
      <c r="D681" s="6">
        <f t="shared" si="46"/>
        <v>17</v>
      </c>
      <c r="E681" s="637" t="str">
        <f t="shared" si="81"/>
        <v>Energy Savings</v>
      </c>
      <c r="F681" s="303"/>
      <c r="G681" s="304"/>
      <c r="H681" s="304"/>
      <c r="I681" s="304">
        <v>1924.3102716593601</v>
      </c>
      <c r="J681" s="304">
        <v>1602.9361416299701</v>
      </c>
      <c r="K681" s="304">
        <v>1677.12138029875</v>
      </c>
      <c r="L681" s="617">
        <v>1763.36208315871</v>
      </c>
      <c r="M681" s="617">
        <v>2061.0466024452498</v>
      </c>
      <c r="N681" s="617">
        <v>2068.066978264666</v>
      </c>
      <c r="O681" s="617">
        <v>2075.0873540840821</v>
      </c>
      <c r="P681" s="617">
        <v>2082.1077299034982</v>
      </c>
      <c r="Q681" s="617">
        <v>2089.1281057229144</v>
      </c>
      <c r="R681" s="617">
        <v>2096.14848154233</v>
      </c>
      <c r="S681" s="617">
        <v>2197.4666034603642</v>
      </c>
      <c r="T681" s="617">
        <v>2298.7847253783984</v>
      </c>
      <c r="U681" s="617">
        <v>2400.1028472964326</v>
      </c>
      <c r="V681" s="617">
        <v>2501.4209692144668</v>
      </c>
      <c r="W681" s="617">
        <v>2602.7390911325001</v>
      </c>
      <c r="X681" s="617">
        <v>2707.654709116322</v>
      </c>
      <c r="Y681" s="617">
        <v>2812.5703271001439</v>
      </c>
      <c r="Z681" s="617">
        <v>2917.4859450839658</v>
      </c>
      <c r="AA681" s="617">
        <v>3022.4015630677877</v>
      </c>
      <c r="AB681" s="304">
        <v>3127.3171810516101</v>
      </c>
      <c r="AC681" s="304"/>
      <c r="AD681" s="304"/>
      <c r="AE681" s="304"/>
      <c r="AF681" s="304"/>
      <c r="AG681" s="304"/>
      <c r="AH681" s="304"/>
      <c r="AI681" s="304"/>
      <c r="AJ681" s="304"/>
      <c r="AK681" s="304"/>
      <c r="AL681" s="304"/>
      <c r="AM681" s="304"/>
      <c r="AN681" s="304"/>
      <c r="AO681" s="304"/>
      <c r="AP681" s="163"/>
    </row>
    <row r="682" spans="2:42" x14ac:dyDescent="0.3">
      <c r="B682" s="6"/>
      <c r="C682" s="6"/>
      <c r="D682" s="6">
        <f t="shared" si="46"/>
        <v>17</v>
      </c>
      <c r="E682" s="637" t="str">
        <f t="shared" si="81"/>
        <v xml:space="preserve">Demand Savings </v>
      </c>
      <c r="F682" s="303"/>
      <c r="G682" s="304"/>
      <c r="H682" s="304"/>
      <c r="I682" s="304">
        <v>0</v>
      </c>
      <c r="J682" s="304">
        <v>0</v>
      </c>
      <c r="K682" s="304">
        <v>0</v>
      </c>
      <c r="L682" s="617">
        <v>0</v>
      </c>
      <c r="M682" s="617">
        <v>0</v>
      </c>
      <c r="N682" s="617">
        <v>0</v>
      </c>
      <c r="O682" s="617">
        <v>0</v>
      </c>
      <c r="P682" s="617">
        <v>0</v>
      </c>
      <c r="Q682" s="617">
        <v>0</v>
      </c>
      <c r="R682" s="617">
        <v>0</v>
      </c>
      <c r="S682" s="617">
        <v>0</v>
      </c>
      <c r="T682" s="617">
        <v>0</v>
      </c>
      <c r="U682" s="617">
        <v>0</v>
      </c>
      <c r="V682" s="617">
        <v>0</v>
      </c>
      <c r="W682" s="617">
        <v>0</v>
      </c>
      <c r="X682" s="617">
        <v>0</v>
      </c>
      <c r="Y682" s="617">
        <v>0</v>
      </c>
      <c r="Z682" s="617">
        <v>0</v>
      </c>
      <c r="AA682" s="617">
        <v>0</v>
      </c>
      <c r="AB682" s="304"/>
      <c r="AC682" s="304"/>
      <c r="AD682" s="304"/>
      <c r="AE682" s="304"/>
      <c r="AF682" s="304"/>
      <c r="AG682" s="304"/>
      <c r="AH682" s="304"/>
      <c r="AI682" s="304"/>
      <c r="AJ682" s="304"/>
      <c r="AK682" s="304"/>
      <c r="AL682" s="304"/>
      <c r="AM682" s="304"/>
      <c r="AN682" s="304"/>
      <c r="AO682" s="304"/>
      <c r="AP682" s="163"/>
    </row>
    <row r="683" spans="2:42" x14ac:dyDescent="0.3">
      <c r="B683" s="6"/>
      <c r="C683" s="6"/>
      <c r="D683" s="6">
        <f t="shared" si="46"/>
        <v>17</v>
      </c>
      <c r="E683" s="638" t="str">
        <f t="shared" si="81"/>
        <v>Energy Generation - Export</v>
      </c>
      <c r="F683" s="303"/>
      <c r="G683" s="304"/>
      <c r="H683" s="304"/>
      <c r="I683" s="304">
        <v>0</v>
      </c>
      <c r="J683" s="304">
        <v>0</v>
      </c>
      <c r="K683" s="304">
        <v>0</v>
      </c>
      <c r="L683" s="617">
        <v>0</v>
      </c>
      <c r="M683" s="617">
        <v>0</v>
      </c>
      <c r="N683" s="617">
        <v>0</v>
      </c>
      <c r="O683" s="617">
        <v>0</v>
      </c>
      <c r="P683" s="617">
        <v>0</v>
      </c>
      <c r="Q683" s="617">
        <v>0</v>
      </c>
      <c r="R683" s="617">
        <v>0</v>
      </c>
      <c r="S683" s="617">
        <v>0</v>
      </c>
      <c r="T683" s="617">
        <v>0</v>
      </c>
      <c r="U683" s="617">
        <v>0</v>
      </c>
      <c r="V683" s="617">
        <v>0</v>
      </c>
      <c r="W683" s="617">
        <v>0</v>
      </c>
      <c r="X683" s="617">
        <v>0</v>
      </c>
      <c r="Y683" s="617">
        <v>0</v>
      </c>
      <c r="Z683" s="617">
        <v>0</v>
      </c>
      <c r="AA683" s="617">
        <v>0</v>
      </c>
      <c r="AB683" s="304"/>
      <c r="AC683" s="304"/>
      <c r="AD683" s="304"/>
      <c r="AE683" s="304"/>
      <c r="AF683" s="304"/>
      <c r="AG683" s="304"/>
      <c r="AH683" s="304"/>
      <c r="AI683" s="304"/>
      <c r="AJ683" s="304"/>
      <c r="AK683" s="304"/>
      <c r="AL683" s="304"/>
      <c r="AM683" s="304"/>
      <c r="AN683" s="304"/>
      <c r="AO683" s="304"/>
      <c r="AP683" s="163"/>
    </row>
    <row r="684" spans="2:42" x14ac:dyDescent="0.3">
      <c r="B684" s="6"/>
      <c r="C684" s="6"/>
      <c r="D684" s="6">
        <f t="shared" si="46"/>
        <v>17</v>
      </c>
      <c r="E684" s="638" t="str">
        <f t="shared" si="81"/>
        <v>Generation Capacity</v>
      </c>
      <c r="F684" s="303"/>
      <c r="G684" s="304"/>
      <c r="H684" s="304"/>
      <c r="I684" s="304">
        <v>1822.8968804157394</v>
      </c>
      <c r="J684" s="304">
        <v>1822.8968804157394</v>
      </c>
      <c r="K684" s="304">
        <v>1458.3175043325914</v>
      </c>
      <c r="L684" s="617">
        <v>1458.3175043325914</v>
      </c>
      <c r="M684" s="617">
        <v>1458.3175043325914</v>
      </c>
      <c r="N684" s="617">
        <v>1458.3175043325914</v>
      </c>
      <c r="O684" s="617">
        <v>1458.3175043325914</v>
      </c>
      <c r="P684" s="617">
        <v>1458.3175043325914</v>
      </c>
      <c r="Q684" s="617">
        <v>1458.3175043325914</v>
      </c>
      <c r="R684" s="617">
        <v>1458.3175043325914</v>
      </c>
      <c r="S684" s="617">
        <v>1501.8330834303224</v>
      </c>
      <c r="T684" s="617">
        <v>1545.3486625280536</v>
      </c>
      <c r="U684" s="617">
        <v>1588.8642416257846</v>
      </c>
      <c r="V684" s="617">
        <v>1632.3798207235159</v>
      </c>
      <c r="W684" s="617">
        <v>1675.8953998212469</v>
      </c>
      <c r="X684" s="617">
        <v>1722.5375929548229</v>
      </c>
      <c r="Y684" s="617">
        <v>1769.1797860883989</v>
      </c>
      <c r="Z684" s="617">
        <v>1815.8219792219747</v>
      </c>
      <c r="AA684" s="617">
        <v>1862.4641723555508</v>
      </c>
      <c r="AB684" s="304">
        <v>1909.1063654891268</v>
      </c>
      <c r="AC684" s="304"/>
      <c r="AD684" s="304"/>
      <c r="AE684" s="304"/>
      <c r="AF684" s="304"/>
      <c r="AG684" s="304"/>
      <c r="AH684" s="304"/>
      <c r="AI684" s="304"/>
      <c r="AJ684" s="304"/>
      <c r="AK684" s="304"/>
      <c r="AL684" s="304"/>
      <c r="AM684" s="304"/>
      <c r="AN684" s="304"/>
      <c r="AO684" s="304"/>
      <c r="AP684" s="163"/>
    </row>
    <row r="685" spans="2:42" x14ac:dyDescent="0.3">
      <c r="B685" s="6"/>
      <c r="C685" s="6"/>
      <c r="D685" s="6">
        <f t="shared" si="46"/>
        <v>17</v>
      </c>
      <c r="E685" s="638" t="str">
        <f t="shared" si="81"/>
        <v>Transmission Capacity</v>
      </c>
      <c r="F685" s="303"/>
      <c r="G685" s="304"/>
      <c r="H685" s="304"/>
      <c r="I685" s="304">
        <v>610.81019434345444</v>
      </c>
      <c r="J685" s="304">
        <v>610.81019434345444</v>
      </c>
      <c r="K685" s="304">
        <v>488.6481554747636</v>
      </c>
      <c r="L685" s="617">
        <v>488.6481554747636</v>
      </c>
      <c r="M685" s="617">
        <v>488.6481554747636</v>
      </c>
      <c r="N685" s="617">
        <v>488.6481554747636</v>
      </c>
      <c r="O685" s="617">
        <v>488.6481554747636</v>
      </c>
      <c r="P685" s="617">
        <v>488.6481554747636</v>
      </c>
      <c r="Q685" s="617">
        <v>488.6481554747636</v>
      </c>
      <c r="R685" s="617">
        <v>488.6481554747636</v>
      </c>
      <c r="S685" s="617">
        <v>496.23734367069699</v>
      </c>
      <c r="T685" s="617">
        <v>503.82653186663038</v>
      </c>
      <c r="U685" s="617">
        <v>511.41572006256376</v>
      </c>
      <c r="V685" s="617">
        <v>519.00490825849715</v>
      </c>
      <c r="W685" s="617">
        <v>526.59409645443054</v>
      </c>
      <c r="X685" s="617">
        <v>541.24984618227643</v>
      </c>
      <c r="Y685" s="617">
        <v>555.90559591012232</v>
      </c>
      <c r="Z685" s="617">
        <v>570.56134563796832</v>
      </c>
      <c r="AA685" s="617">
        <v>585.2170953658142</v>
      </c>
      <c r="AB685" s="304">
        <v>599.87284509366009</v>
      </c>
      <c r="AC685" s="304"/>
      <c r="AD685" s="304"/>
      <c r="AE685" s="304"/>
      <c r="AF685" s="304"/>
      <c r="AG685" s="304"/>
      <c r="AH685" s="304"/>
      <c r="AI685" s="304"/>
      <c r="AJ685" s="304"/>
      <c r="AK685" s="304"/>
      <c r="AL685" s="304"/>
      <c r="AM685" s="304"/>
      <c r="AN685" s="304"/>
      <c r="AO685" s="304"/>
      <c r="AP685" s="163"/>
    </row>
    <row r="686" spans="2:42" x14ac:dyDescent="0.3">
      <c r="B686" s="6"/>
      <c r="C686" s="6"/>
      <c r="D686" s="6">
        <f t="shared" si="46"/>
        <v>17</v>
      </c>
      <c r="E686" s="638" t="str">
        <f t="shared" si="81"/>
        <v>Distribution Capacity</v>
      </c>
      <c r="F686" s="303"/>
      <c r="G686" s="304"/>
      <c r="H686" s="304"/>
      <c r="I686" s="304">
        <v>167.18971345170195</v>
      </c>
      <c r="J686" s="304">
        <v>158.28206478419324</v>
      </c>
      <c r="K686" s="304">
        <v>153.48563857861163</v>
      </c>
      <c r="L686" s="617">
        <v>131.55911878166711</v>
      </c>
      <c r="M686" s="617">
        <v>171.30093591362905</v>
      </c>
      <c r="N686" s="617">
        <v>168.42308019028007</v>
      </c>
      <c r="O686" s="617">
        <v>165.5452244669311</v>
      </c>
      <c r="P686" s="617">
        <v>162.66736874358213</v>
      </c>
      <c r="Q686" s="617">
        <v>159.78951302023316</v>
      </c>
      <c r="R686" s="617">
        <v>156.91165729688419</v>
      </c>
      <c r="S686" s="617">
        <v>171.25187094311798</v>
      </c>
      <c r="T686" s="617">
        <v>185.5920845893518</v>
      </c>
      <c r="U686" s="617">
        <v>199.93229823558559</v>
      </c>
      <c r="V686" s="617">
        <v>214.27251188181941</v>
      </c>
      <c r="W686" s="617">
        <v>228.6127255280532</v>
      </c>
      <c r="X686" s="617">
        <v>230.73580782678786</v>
      </c>
      <c r="Y686" s="617">
        <v>232.85889012552249</v>
      </c>
      <c r="Z686" s="617">
        <v>234.98197242425715</v>
      </c>
      <c r="AA686" s="617">
        <v>237.10505472299178</v>
      </c>
      <c r="AB686" s="304">
        <v>239.22813702172644</v>
      </c>
      <c r="AC686" s="304"/>
      <c r="AD686" s="304"/>
      <c r="AE686" s="304"/>
      <c r="AF686" s="304"/>
      <c r="AG686" s="304"/>
      <c r="AH686" s="304"/>
      <c r="AI686" s="304"/>
      <c r="AJ686" s="304"/>
      <c r="AK686" s="304"/>
      <c r="AL686" s="304"/>
      <c r="AM686" s="304"/>
      <c r="AN686" s="304"/>
      <c r="AO686" s="304"/>
      <c r="AP686" s="163"/>
    </row>
    <row r="687" spans="2:42" x14ac:dyDescent="0.3">
      <c r="B687" s="6"/>
      <c r="C687" s="6"/>
      <c r="D687" s="6">
        <f t="shared" si="46"/>
        <v>17</v>
      </c>
      <c r="E687" s="638" t="str">
        <f t="shared" si="81"/>
        <v>GHG Impacts</v>
      </c>
      <c r="F687" s="303"/>
      <c r="G687" s="304"/>
      <c r="H687" s="304"/>
      <c r="I687" s="304">
        <v>718.32200078962933</v>
      </c>
      <c r="J687" s="304">
        <v>588.49219302829385</v>
      </c>
      <c r="K687" s="304">
        <v>315.30209925889613</v>
      </c>
      <c r="L687" s="617">
        <v>411.55983237961459</v>
      </c>
      <c r="M687" s="617">
        <v>565.83560688776834</v>
      </c>
      <c r="N687" s="617">
        <v>695.02818074852053</v>
      </c>
      <c r="O687" s="617">
        <v>824.22075460927272</v>
      </c>
      <c r="P687" s="617">
        <v>953.41332847002491</v>
      </c>
      <c r="Q687" s="617">
        <v>1082.6059023307771</v>
      </c>
      <c r="R687" s="617">
        <v>1211.7984761915293</v>
      </c>
      <c r="S687" s="617">
        <v>1308.0384252473939</v>
      </c>
      <c r="T687" s="617">
        <v>1404.2783743032585</v>
      </c>
      <c r="U687" s="617">
        <v>1500.5183233591229</v>
      </c>
      <c r="V687" s="617">
        <v>1596.7582724149875</v>
      </c>
      <c r="W687" s="617">
        <v>1692.9982214708521</v>
      </c>
      <c r="X687" s="617">
        <v>1798.0212486878117</v>
      </c>
      <c r="Y687" s="617">
        <v>1903.0442759047717</v>
      </c>
      <c r="Z687" s="617">
        <v>2008.0673031217314</v>
      </c>
      <c r="AA687" s="617">
        <v>2113.0903303386913</v>
      </c>
      <c r="AB687" s="304">
        <v>2218.113357555651</v>
      </c>
      <c r="AC687" s="304"/>
      <c r="AD687" s="304"/>
      <c r="AE687" s="304"/>
      <c r="AF687" s="304"/>
      <c r="AG687" s="304"/>
      <c r="AH687" s="304"/>
      <c r="AI687" s="304"/>
      <c r="AJ687" s="304"/>
      <c r="AK687" s="304"/>
      <c r="AL687" s="304"/>
      <c r="AM687" s="304"/>
      <c r="AN687" s="304"/>
      <c r="AO687" s="304"/>
      <c r="AP687" s="163"/>
    </row>
    <row r="688" spans="2:42" x14ac:dyDescent="0.3">
      <c r="B688" s="6"/>
      <c r="C688" s="6"/>
      <c r="D688" s="6">
        <f t="shared" si="46"/>
        <v>17</v>
      </c>
      <c r="E688" s="638" t="str">
        <f t="shared" si="81"/>
        <v>Market Price Effects - Wholesale Energy</v>
      </c>
      <c r="F688" s="303"/>
      <c r="G688" s="304"/>
      <c r="H688" s="304"/>
      <c r="I688" s="304">
        <v>114.65652495106679</v>
      </c>
      <c r="J688" s="304">
        <v>197.7128558642323</v>
      </c>
      <c r="K688" s="304">
        <v>271.62308968964885</v>
      </c>
      <c r="L688" s="617">
        <v>275.91707873699329</v>
      </c>
      <c r="M688" s="617">
        <v>349.50391642005951</v>
      </c>
      <c r="N688" s="617">
        <v>315.52608892715335</v>
      </c>
      <c r="O688" s="617">
        <v>281.54826143424714</v>
      </c>
      <c r="P688" s="617">
        <v>247.57043394134098</v>
      </c>
      <c r="Q688" s="617">
        <v>213.59260644843482</v>
      </c>
      <c r="R688" s="617">
        <v>179.61477895552866</v>
      </c>
      <c r="S688" s="617">
        <v>210.65170717730649</v>
      </c>
      <c r="T688" s="617">
        <v>241.68863539908435</v>
      </c>
      <c r="U688" s="617">
        <v>272.7255636208622</v>
      </c>
      <c r="V688" s="617">
        <v>303.76249184264003</v>
      </c>
      <c r="W688" s="617">
        <v>334.79942006441786</v>
      </c>
      <c r="X688" s="617">
        <v>350.02089674505169</v>
      </c>
      <c r="Y688" s="617">
        <v>365.24237342568551</v>
      </c>
      <c r="Z688" s="617">
        <v>380.46385010631934</v>
      </c>
      <c r="AA688" s="617">
        <v>395.68532678695317</v>
      </c>
      <c r="AB688" s="304">
        <v>410.906803467587</v>
      </c>
      <c r="AC688" s="304"/>
      <c r="AD688" s="304"/>
      <c r="AE688" s="304"/>
      <c r="AF688" s="304"/>
      <c r="AG688" s="304"/>
      <c r="AH688" s="304"/>
      <c r="AI688" s="304"/>
      <c r="AJ688" s="304"/>
      <c r="AK688" s="304"/>
      <c r="AL688" s="304"/>
      <c r="AM688" s="304"/>
      <c r="AN688" s="304"/>
      <c r="AO688" s="304"/>
      <c r="AP688" s="163"/>
    </row>
    <row r="689" spans="2:42" x14ac:dyDescent="0.3">
      <c r="B689" s="6"/>
      <c r="C689" s="6"/>
      <c r="D689" s="6">
        <f t="shared" si="46"/>
        <v>17</v>
      </c>
      <c r="E689" s="638" t="str">
        <f t="shared" si="81"/>
        <v>Market Price Effects - Wholesale Capacity</v>
      </c>
      <c r="F689" s="303"/>
      <c r="G689" s="304"/>
      <c r="H689" s="304"/>
      <c r="I689" s="304">
        <v>0</v>
      </c>
      <c r="J689" s="304">
        <v>0</v>
      </c>
      <c r="K689" s="304">
        <v>0</v>
      </c>
      <c r="L689" s="617">
        <v>0</v>
      </c>
      <c r="M689" s="617">
        <v>0</v>
      </c>
      <c r="N689" s="617">
        <v>0</v>
      </c>
      <c r="O689" s="617">
        <v>0</v>
      </c>
      <c r="P689" s="617">
        <v>0</v>
      </c>
      <c r="Q689" s="617">
        <v>0</v>
      </c>
      <c r="R689" s="617">
        <v>0</v>
      </c>
      <c r="S689" s="617">
        <v>0</v>
      </c>
      <c r="T689" s="617">
        <v>0</v>
      </c>
      <c r="U689" s="617">
        <v>0</v>
      </c>
      <c r="V689" s="617">
        <v>0</v>
      </c>
      <c r="W689" s="617">
        <v>0</v>
      </c>
      <c r="X689" s="617">
        <v>0</v>
      </c>
      <c r="Y689" s="617">
        <v>0</v>
      </c>
      <c r="Z689" s="617">
        <v>0</v>
      </c>
      <c r="AA689" s="617">
        <v>0</v>
      </c>
      <c r="AB689" s="304">
        <v>0</v>
      </c>
      <c r="AC689" s="304"/>
      <c r="AD689" s="304"/>
      <c r="AE689" s="304"/>
      <c r="AF689" s="304"/>
      <c r="AG689" s="304"/>
      <c r="AH689" s="304"/>
      <c r="AI689" s="304"/>
      <c r="AJ689" s="304"/>
      <c r="AK689" s="304"/>
      <c r="AL689" s="304"/>
      <c r="AM689" s="304"/>
      <c r="AN689" s="304"/>
      <c r="AO689" s="304"/>
      <c r="AP689" s="163"/>
    </row>
    <row r="690" spans="2:42" x14ac:dyDescent="0.3">
      <c r="B690" s="6"/>
      <c r="C690" s="6"/>
      <c r="D690" s="6">
        <f t="shared" si="46"/>
        <v>17</v>
      </c>
      <c r="E690" s="639" t="str">
        <f t="shared" si="81"/>
        <v>Avoided Cost of Participant Backup Generator</v>
      </c>
      <c r="F690" s="303"/>
      <c r="G690" s="303"/>
      <c r="H690" s="303"/>
      <c r="I690" s="303">
        <f>Inputs!T26*1000*Inputs!BV26</f>
        <v>10000</v>
      </c>
      <c r="J690" s="303">
        <v>0</v>
      </c>
      <c r="K690" s="303">
        <v>0</v>
      </c>
      <c r="L690" s="303">
        <v>0</v>
      </c>
      <c r="M690" s="303">
        <v>0</v>
      </c>
      <c r="N690" s="303">
        <v>0</v>
      </c>
      <c r="O690" s="303">
        <v>0</v>
      </c>
      <c r="P690" s="303">
        <v>0</v>
      </c>
      <c r="Q690" s="303">
        <v>0</v>
      </c>
      <c r="R690" s="303">
        <v>0</v>
      </c>
      <c r="S690" s="303">
        <v>0</v>
      </c>
      <c r="T690" s="303">
        <v>0</v>
      </c>
      <c r="U690" s="303">
        <v>0</v>
      </c>
      <c r="V690" s="303">
        <v>0</v>
      </c>
      <c r="W690" s="303">
        <v>0</v>
      </c>
      <c r="X690" s="303">
        <v>0</v>
      </c>
      <c r="Y690" s="303">
        <v>0</v>
      </c>
      <c r="Z690" s="303">
        <v>0</v>
      </c>
      <c r="AA690" s="303">
        <v>0</v>
      </c>
      <c r="AB690" s="303">
        <v>0</v>
      </c>
      <c r="AC690" s="303"/>
      <c r="AD690" s="303"/>
      <c r="AE690" s="303"/>
      <c r="AF690" s="303"/>
      <c r="AG690" s="303"/>
      <c r="AH690" s="303"/>
      <c r="AI690" s="303"/>
      <c r="AJ690" s="303"/>
      <c r="AK690" s="303"/>
      <c r="AL690" s="303"/>
      <c r="AM690" s="303"/>
      <c r="AN690" s="303"/>
      <c r="AO690" s="303"/>
      <c r="AP690" s="163"/>
    </row>
    <row r="691" spans="2:42" x14ac:dyDescent="0.3">
      <c r="B691" s="6"/>
      <c r="C691" s="6"/>
      <c r="D691" s="6">
        <f t="shared" si="46"/>
        <v>17</v>
      </c>
      <c r="E691" s="640" t="str">
        <f t="shared" si="81"/>
        <v>Full Eq DoD Cycle</v>
      </c>
      <c r="F691" s="303"/>
      <c r="G691" s="303"/>
      <c r="H691" s="310"/>
      <c r="I691" s="308">
        <v>365</v>
      </c>
      <c r="J691" s="308">
        <v>364.99999999999994</v>
      </c>
      <c r="K691" s="308">
        <v>365.00000000000006</v>
      </c>
      <c r="L691" s="618">
        <v>364.99999999999994</v>
      </c>
      <c r="M691" s="618">
        <v>364.99999999999994</v>
      </c>
      <c r="N691" s="618">
        <v>364.99999999999994</v>
      </c>
      <c r="O691" s="618">
        <v>364.99999999999994</v>
      </c>
      <c r="P691" s="618">
        <v>364.99999999999994</v>
      </c>
      <c r="Q691" s="618">
        <v>364.99999999999994</v>
      </c>
      <c r="R691" s="618">
        <v>365</v>
      </c>
      <c r="S691" s="618">
        <v>365</v>
      </c>
      <c r="T691" s="618">
        <v>365</v>
      </c>
      <c r="U691" s="618">
        <v>365</v>
      </c>
      <c r="V691" s="618">
        <v>365</v>
      </c>
      <c r="W691" s="618">
        <v>365</v>
      </c>
      <c r="X691" s="618">
        <v>365</v>
      </c>
      <c r="Y691" s="618">
        <v>365</v>
      </c>
      <c r="Z691" s="618">
        <v>365</v>
      </c>
      <c r="AA691" s="618">
        <v>365</v>
      </c>
      <c r="AB691" s="308">
        <v>365</v>
      </c>
      <c r="AC691" s="309"/>
      <c r="AD691" s="309"/>
      <c r="AE691" s="309"/>
      <c r="AF691" s="309"/>
      <c r="AG691" s="309"/>
      <c r="AH691" s="309"/>
      <c r="AI691" s="309"/>
      <c r="AJ691" s="309"/>
      <c r="AK691" s="309"/>
      <c r="AL691" s="309"/>
      <c r="AM691" s="309"/>
      <c r="AN691" s="309"/>
      <c r="AO691" s="309"/>
      <c r="AP691" s="163"/>
    </row>
    <row r="692" spans="2:42" x14ac:dyDescent="0.3">
      <c r="B692" s="6"/>
      <c r="C692" s="6"/>
      <c r="D692" s="6">
        <f t="shared" si="46"/>
        <v>17</v>
      </c>
      <c r="E692" s="640" t="str">
        <f t="shared" si="81"/>
        <v>Export MWh</v>
      </c>
      <c r="F692" s="303"/>
      <c r="G692" s="303"/>
      <c r="H692" s="310"/>
      <c r="I692" s="308">
        <v>31.202000000000002</v>
      </c>
      <c r="J692" s="308">
        <v>30.962</v>
      </c>
      <c r="K692" s="308">
        <v>30.52</v>
      </c>
      <c r="L692" s="618">
        <v>30.413</v>
      </c>
      <c r="M692" s="618">
        <v>30.34</v>
      </c>
      <c r="N692" s="618">
        <v>30.297999999999998</v>
      </c>
      <c r="O692" s="618">
        <v>30.255999999999997</v>
      </c>
      <c r="P692" s="618">
        <v>30.213999999999995</v>
      </c>
      <c r="Q692" s="618">
        <v>30.171999999999993</v>
      </c>
      <c r="R692" s="618">
        <v>30.13</v>
      </c>
      <c r="S692" s="618">
        <v>30.0504</v>
      </c>
      <c r="T692" s="618">
        <v>29.970800000000001</v>
      </c>
      <c r="U692" s="618">
        <v>29.891200000000001</v>
      </c>
      <c r="V692" s="618">
        <v>29.811600000000002</v>
      </c>
      <c r="W692" s="618">
        <v>29.731999999999999</v>
      </c>
      <c r="X692" s="618">
        <v>29.721599999999999</v>
      </c>
      <c r="Y692" s="618">
        <v>29.711199999999998</v>
      </c>
      <c r="Z692" s="618">
        <v>29.700799999999997</v>
      </c>
      <c r="AA692" s="618">
        <v>29.690399999999997</v>
      </c>
      <c r="AB692" s="308">
        <v>29.68</v>
      </c>
      <c r="AC692" s="309"/>
      <c r="AD692" s="309"/>
      <c r="AE692" s="309"/>
      <c r="AF692" s="309"/>
      <c r="AG692" s="309"/>
      <c r="AH692" s="309"/>
      <c r="AI692" s="309"/>
      <c r="AJ692" s="309"/>
      <c r="AK692" s="309"/>
      <c r="AL692" s="309"/>
      <c r="AM692" s="309"/>
      <c r="AN692" s="309"/>
      <c r="AO692" s="309"/>
      <c r="AP692" s="163"/>
    </row>
    <row r="693" spans="2:42" x14ac:dyDescent="0.3">
      <c r="B693" s="6"/>
      <c r="C693" s="6"/>
      <c r="D693" s="6">
        <f t="shared" si="46"/>
        <v>17</v>
      </c>
      <c r="E693" s="640" t="str">
        <f t="shared" si="81"/>
        <v>Charge MWh</v>
      </c>
      <c r="F693" s="303"/>
      <c r="G693" s="303"/>
      <c r="H693" s="310"/>
      <c r="I693" s="311"/>
      <c r="J693" s="311"/>
      <c r="K693" s="311"/>
      <c r="L693" s="619"/>
      <c r="M693" s="619"/>
      <c r="N693" s="619"/>
      <c r="O693" s="619"/>
      <c r="P693" s="619"/>
      <c r="Q693" s="619"/>
      <c r="R693" s="619"/>
      <c r="S693" s="619"/>
      <c r="T693" s="619"/>
      <c r="U693" s="619"/>
      <c r="V693" s="619"/>
      <c r="W693" s="619"/>
      <c r="X693" s="619"/>
      <c r="Y693" s="619"/>
      <c r="Z693" s="619"/>
      <c r="AA693" s="619"/>
      <c r="AB693" s="311"/>
      <c r="AC693" s="313"/>
      <c r="AD693" s="313"/>
      <c r="AE693" s="313"/>
      <c r="AF693" s="313"/>
      <c r="AG693" s="313"/>
      <c r="AH693" s="313"/>
      <c r="AI693" s="313"/>
      <c r="AJ693" s="313"/>
      <c r="AK693" s="313"/>
      <c r="AL693" s="313"/>
      <c r="AM693" s="313"/>
      <c r="AN693" s="313"/>
      <c r="AO693" s="313"/>
      <c r="AP693" s="163"/>
    </row>
    <row r="694" spans="2:42" x14ac:dyDescent="0.3">
      <c r="B694" s="6"/>
      <c r="C694" s="6"/>
      <c r="D694" s="6">
        <f t="shared" si="46"/>
        <v>17</v>
      </c>
      <c r="E694" s="641" t="str">
        <f t="shared" si="81"/>
        <v>Total ESS Charge MWh</v>
      </c>
      <c r="F694" s="303"/>
      <c r="G694" s="306"/>
      <c r="H694" s="310"/>
      <c r="I694" s="308">
        <v>21.422341847862583</v>
      </c>
      <c r="J694" s="308">
        <v>21.42234184786258</v>
      </c>
      <c r="K694" s="308">
        <v>21.42234184786258</v>
      </c>
      <c r="L694" s="618">
        <v>21.422341847862583</v>
      </c>
      <c r="M694" s="618">
        <v>21.42234184786258</v>
      </c>
      <c r="N694" s="618">
        <v>21.42234184786258</v>
      </c>
      <c r="O694" s="618">
        <v>21.42234184786258</v>
      </c>
      <c r="P694" s="618">
        <v>21.42234184786258</v>
      </c>
      <c r="Q694" s="618">
        <v>21.42234184786258</v>
      </c>
      <c r="R694" s="618">
        <v>21.42234184786258</v>
      </c>
      <c r="S694" s="618">
        <v>21.42234184786258</v>
      </c>
      <c r="T694" s="618">
        <v>21.42234184786258</v>
      </c>
      <c r="U694" s="618">
        <v>21.42234184786258</v>
      </c>
      <c r="V694" s="618">
        <v>21.42234184786258</v>
      </c>
      <c r="W694" s="618">
        <v>21.422341847862576</v>
      </c>
      <c r="X694" s="618">
        <v>21.422341847862576</v>
      </c>
      <c r="Y694" s="618">
        <v>21.422341847862576</v>
      </c>
      <c r="Z694" s="618">
        <v>21.422341847862576</v>
      </c>
      <c r="AA694" s="618">
        <v>21.422341847862576</v>
      </c>
      <c r="AB694" s="308">
        <v>21.422341847862583</v>
      </c>
      <c r="AC694" s="309"/>
      <c r="AD694" s="309"/>
      <c r="AE694" s="309"/>
      <c r="AF694" s="309"/>
      <c r="AG694" s="309"/>
      <c r="AH694" s="309"/>
      <c r="AI694" s="309"/>
      <c r="AJ694" s="309"/>
      <c r="AK694" s="309"/>
      <c r="AL694" s="309"/>
      <c r="AM694" s="309"/>
      <c r="AN694" s="309"/>
      <c r="AO694" s="309"/>
      <c r="AP694" s="163"/>
    </row>
    <row r="695" spans="2:42" x14ac:dyDescent="0.3">
      <c r="B695" s="6"/>
      <c r="C695" s="6"/>
      <c r="D695" s="6">
        <f t="shared" si="46"/>
        <v>17</v>
      </c>
      <c r="E695" s="642" t="str">
        <f t="shared" si="81"/>
        <v>Avg Generation Capacity</v>
      </c>
      <c r="F695" s="303"/>
      <c r="G695" s="306"/>
      <c r="H695" s="310"/>
      <c r="I695" s="308">
        <v>0</v>
      </c>
      <c r="J695" s="308">
        <v>0</v>
      </c>
      <c r="K695" s="308">
        <v>0</v>
      </c>
      <c r="L695" s="308">
        <v>0</v>
      </c>
      <c r="M695" s="308">
        <v>0</v>
      </c>
      <c r="N695" s="308">
        <v>0</v>
      </c>
      <c r="O695" s="308">
        <v>0</v>
      </c>
      <c r="P695" s="308">
        <v>0</v>
      </c>
      <c r="Q695" s="308">
        <v>0</v>
      </c>
      <c r="R695" s="308">
        <v>0</v>
      </c>
      <c r="S695" s="308">
        <v>0</v>
      </c>
      <c r="T695" s="308">
        <v>0</v>
      </c>
      <c r="U695" s="308">
        <v>0</v>
      </c>
      <c r="V695" s="308">
        <v>0</v>
      </c>
      <c r="W695" s="308">
        <v>0</v>
      </c>
      <c r="X695" s="308">
        <v>0</v>
      </c>
      <c r="Y695" s="308">
        <v>0</v>
      </c>
      <c r="Z695" s="308">
        <v>0</v>
      </c>
      <c r="AA695" s="308">
        <v>0</v>
      </c>
      <c r="AB695" s="308">
        <v>0</v>
      </c>
      <c r="AC695" s="309"/>
      <c r="AD695" s="309"/>
      <c r="AE695" s="309"/>
      <c r="AF695" s="309"/>
      <c r="AG695" s="309"/>
      <c r="AH695" s="309"/>
      <c r="AI695" s="309"/>
      <c r="AJ695" s="309"/>
      <c r="AK695" s="309"/>
      <c r="AL695" s="309"/>
      <c r="AM695" s="309"/>
      <c r="AN695" s="309"/>
      <c r="AO695" s="309"/>
      <c r="AP695" s="163"/>
    </row>
    <row r="696" spans="2:42" x14ac:dyDescent="0.3">
      <c r="B696" s="6"/>
      <c r="C696" s="6"/>
      <c r="D696" s="6">
        <f t="shared" si="46"/>
        <v>17</v>
      </c>
      <c r="E696" s="642" t="str">
        <f t="shared" si="81"/>
        <v>Avg Transmission Capacity</v>
      </c>
      <c r="F696" s="303"/>
      <c r="G696" s="306"/>
      <c r="H696" s="310"/>
      <c r="I696" s="308">
        <v>0</v>
      </c>
      <c r="J696" s="308">
        <v>0</v>
      </c>
      <c r="K696" s="308">
        <v>0</v>
      </c>
      <c r="L696" s="308">
        <v>0</v>
      </c>
      <c r="M696" s="308">
        <v>0</v>
      </c>
      <c r="N696" s="308">
        <v>0</v>
      </c>
      <c r="O696" s="308">
        <v>0</v>
      </c>
      <c r="P696" s="308">
        <v>0</v>
      </c>
      <c r="Q696" s="308">
        <v>0</v>
      </c>
      <c r="R696" s="308">
        <v>0</v>
      </c>
      <c r="S696" s="308">
        <v>0</v>
      </c>
      <c r="T696" s="308">
        <v>0</v>
      </c>
      <c r="U696" s="308">
        <v>0</v>
      </c>
      <c r="V696" s="308">
        <v>0</v>
      </c>
      <c r="W696" s="308">
        <v>0</v>
      </c>
      <c r="X696" s="308">
        <v>0</v>
      </c>
      <c r="Y696" s="308">
        <v>0</v>
      </c>
      <c r="Z696" s="308">
        <v>0</v>
      </c>
      <c r="AA696" s="308">
        <v>0</v>
      </c>
      <c r="AB696" s="308">
        <v>2.1999999999999999E-2</v>
      </c>
      <c r="AC696" s="309"/>
      <c r="AD696" s="309"/>
      <c r="AE696" s="309"/>
      <c r="AF696" s="309"/>
      <c r="AG696" s="309"/>
      <c r="AH696" s="309"/>
      <c r="AI696" s="309"/>
      <c r="AJ696" s="309"/>
      <c r="AK696" s="309"/>
      <c r="AL696" s="309"/>
      <c r="AM696" s="309"/>
      <c r="AN696" s="309"/>
      <c r="AO696" s="309"/>
      <c r="AP696" s="163"/>
    </row>
    <row r="697" spans="2:42" x14ac:dyDescent="0.3">
      <c r="B697" s="6"/>
      <c r="C697" s="6"/>
      <c r="D697" s="6">
        <f t="shared" si="46"/>
        <v>17</v>
      </c>
      <c r="E697" s="642" t="str">
        <f t="shared" si="81"/>
        <v>Avg Distribution Capacity</v>
      </c>
      <c r="F697" s="303"/>
      <c r="G697" s="306"/>
      <c r="H697" s="310"/>
      <c r="I697" s="308">
        <v>0</v>
      </c>
      <c r="J697" s="308">
        <v>0</v>
      </c>
      <c r="K697" s="308">
        <v>0</v>
      </c>
      <c r="L697" s="618">
        <v>0</v>
      </c>
      <c r="M697" s="618">
        <v>0</v>
      </c>
      <c r="N697" s="618">
        <v>0</v>
      </c>
      <c r="O697" s="618">
        <v>0</v>
      </c>
      <c r="P697" s="618">
        <v>0</v>
      </c>
      <c r="Q697" s="618">
        <v>0</v>
      </c>
      <c r="R697" s="618">
        <v>0</v>
      </c>
      <c r="S697" s="618">
        <v>0</v>
      </c>
      <c r="T697" s="618">
        <v>0</v>
      </c>
      <c r="U697" s="618">
        <v>0</v>
      </c>
      <c r="V697" s="618">
        <v>0</v>
      </c>
      <c r="W697" s="618">
        <v>0</v>
      </c>
      <c r="X697" s="618">
        <v>0</v>
      </c>
      <c r="Y697" s="618">
        <v>0</v>
      </c>
      <c r="Z697" s="618">
        <v>0</v>
      </c>
      <c r="AA697" s="618">
        <v>0</v>
      </c>
      <c r="AB697" s="308">
        <v>2.1999999999999999E-2</v>
      </c>
      <c r="AC697" s="309"/>
      <c r="AD697" s="309"/>
      <c r="AE697" s="309"/>
      <c r="AF697" s="309"/>
      <c r="AG697" s="309"/>
      <c r="AH697" s="309"/>
      <c r="AI697" s="309"/>
      <c r="AJ697" s="309"/>
      <c r="AK697" s="309"/>
      <c r="AL697" s="309"/>
      <c r="AM697" s="309"/>
      <c r="AN697" s="309"/>
      <c r="AO697" s="309"/>
      <c r="AP697" s="163"/>
    </row>
    <row r="698" spans="2:42" x14ac:dyDescent="0.3">
      <c r="B698" s="6"/>
      <c r="C698" s="6"/>
      <c r="D698" s="6">
        <f t="shared" si="46"/>
        <v>17</v>
      </c>
      <c r="E698" s="642" t="str">
        <f t="shared" si="81"/>
        <v>GHG Impacts</v>
      </c>
      <c r="F698" s="303"/>
      <c r="G698" s="306"/>
      <c r="H698" s="310"/>
      <c r="I698" s="308">
        <v>21.397341847862439</v>
      </c>
      <c r="J698" s="308">
        <v>21.22528563293028</v>
      </c>
      <c r="K698" s="308">
        <v>20.737060773201666</v>
      </c>
      <c r="L698" s="618">
        <v>19.922000000000001</v>
      </c>
      <c r="M698" s="618">
        <v>18.420999999999999</v>
      </c>
      <c r="N698" s="618">
        <v>17.148199999999999</v>
      </c>
      <c r="O698" s="618">
        <v>15.875399999999999</v>
      </c>
      <c r="P698" s="618">
        <v>14.602599999999999</v>
      </c>
      <c r="Q698" s="618">
        <v>13.329799999999999</v>
      </c>
      <c r="R698" s="618">
        <v>12.057</v>
      </c>
      <c r="S698" s="618">
        <v>11.4216</v>
      </c>
      <c r="T698" s="618">
        <v>10.786199999999999</v>
      </c>
      <c r="U698" s="618">
        <v>10.150799999999998</v>
      </c>
      <c r="V698" s="618">
        <v>9.5153999999999979</v>
      </c>
      <c r="W698" s="618">
        <v>8.8800000000000008</v>
      </c>
      <c r="X698" s="618">
        <v>8.4768000000000008</v>
      </c>
      <c r="Y698" s="618">
        <v>8.0736000000000008</v>
      </c>
      <c r="Z698" s="618">
        <v>7.6704000000000008</v>
      </c>
      <c r="AA698" s="618">
        <v>7.2672000000000008</v>
      </c>
      <c r="AB698" s="308">
        <v>6.8639999999999999</v>
      </c>
      <c r="AC698" s="309"/>
      <c r="AD698" s="309"/>
      <c r="AE698" s="309"/>
      <c r="AF698" s="309"/>
      <c r="AG698" s="309"/>
      <c r="AH698" s="309"/>
      <c r="AI698" s="309"/>
      <c r="AJ698" s="309"/>
      <c r="AK698" s="309"/>
      <c r="AL698" s="309"/>
      <c r="AM698" s="309"/>
      <c r="AN698" s="309"/>
      <c r="AO698" s="309"/>
      <c r="AP698" s="163"/>
    </row>
    <row r="699" spans="2:42" x14ac:dyDescent="0.3">
      <c r="B699" s="6"/>
      <c r="C699" s="6"/>
      <c r="D699" s="6">
        <f t="shared" si="46"/>
        <v>17</v>
      </c>
      <c r="E699" s="642" t="str">
        <f t="shared" si="81"/>
        <v>Market Price Effects - Wholesale Energy</v>
      </c>
      <c r="F699" s="303"/>
      <c r="G699" s="306"/>
      <c r="H699" s="310"/>
      <c r="I699" s="308">
        <v>21.422341847862437</v>
      </c>
      <c r="J699" s="308">
        <v>21.42234184786243</v>
      </c>
      <c r="K699" s="308">
        <v>21.422341847862427</v>
      </c>
      <c r="L699" s="618">
        <v>21.422000000000001</v>
      </c>
      <c r="M699" s="618">
        <v>21.422000000000001</v>
      </c>
      <c r="N699" s="618">
        <v>21.422000000000001</v>
      </c>
      <c r="O699" s="618">
        <v>21.422000000000001</v>
      </c>
      <c r="P699" s="618">
        <v>21.422000000000001</v>
      </c>
      <c r="Q699" s="618">
        <v>21.422000000000001</v>
      </c>
      <c r="R699" s="618">
        <v>21.422000000000001</v>
      </c>
      <c r="S699" s="618">
        <v>21.421600000000002</v>
      </c>
      <c r="T699" s="618">
        <v>21.421200000000002</v>
      </c>
      <c r="U699" s="618">
        <v>21.420800000000003</v>
      </c>
      <c r="V699" s="618">
        <v>21.420400000000004</v>
      </c>
      <c r="W699" s="618">
        <v>21.42</v>
      </c>
      <c r="X699" s="618">
        <v>21.420400000000001</v>
      </c>
      <c r="Y699" s="618">
        <v>21.4208</v>
      </c>
      <c r="Z699" s="618">
        <v>21.421199999999999</v>
      </c>
      <c r="AA699" s="618">
        <v>21.421599999999998</v>
      </c>
      <c r="AB699" s="308">
        <v>21.422000000000001</v>
      </c>
      <c r="AC699" s="309"/>
      <c r="AD699" s="309"/>
      <c r="AE699" s="309"/>
      <c r="AF699" s="309"/>
      <c r="AG699" s="309"/>
      <c r="AH699" s="309"/>
      <c r="AI699" s="309"/>
      <c r="AJ699" s="309"/>
      <c r="AK699" s="309"/>
      <c r="AL699" s="309"/>
      <c r="AM699" s="309"/>
      <c r="AN699" s="309"/>
      <c r="AO699" s="309"/>
      <c r="AP699" s="163"/>
    </row>
    <row r="700" spans="2:42" x14ac:dyDescent="0.3">
      <c r="B700" s="6"/>
      <c r="C700" s="6"/>
      <c r="D700" s="6">
        <f t="shared" si="46"/>
        <v>17</v>
      </c>
      <c r="E700" s="643" t="str">
        <f t="shared" si="81"/>
        <v>Market Price Effects - Wholesale Capacity</v>
      </c>
      <c r="F700" s="303"/>
      <c r="I700" s="308">
        <v>0</v>
      </c>
      <c r="J700" s="308">
        <v>0</v>
      </c>
      <c r="K700" s="308">
        <v>0</v>
      </c>
      <c r="L700" s="618">
        <v>0</v>
      </c>
      <c r="M700" s="618">
        <v>0</v>
      </c>
      <c r="N700" s="618">
        <v>0</v>
      </c>
      <c r="O700" s="618">
        <v>0</v>
      </c>
      <c r="P700" s="618">
        <v>0</v>
      </c>
      <c r="Q700" s="618">
        <v>0</v>
      </c>
      <c r="R700" s="618">
        <v>0</v>
      </c>
      <c r="S700" s="618">
        <v>0</v>
      </c>
      <c r="T700" s="618">
        <v>0</v>
      </c>
      <c r="U700" s="618">
        <v>0</v>
      </c>
      <c r="V700" s="618">
        <v>0</v>
      </c>
      <c r="W700" s="618">
        <v>0</v>
      </c>
      <c r="X700" s="618">
        <v>0</v>
      </c>
      <c r="Y700" s="618">
        <v>0</v>
      </c>
      <c r="Z700" s="618">
        <v>0</v>
      </c>
      <c r="AA700" s="618">
        <v>0</v>
      </c>
      <c r="AB700" s="308">
        <v>0</v>
      </c>
      <c r="AC700" s="309"/>
      <c r="AD700" s="309"/>
      <c r="AE700" s="309"/>
      <c r="AF700" s="309"/>
      <c r="AG700" s="309"/>
      <c r="AH700" s="309"/>
      <c r="AI700" s="309"/>
      <c r="AJ700" s="309"/>
      <c r="AK700" s="309"/>
      <c r="AL700" s="309"/>
      <c r="AM700" s="309"/>
      <c r="AN700" s="309"/>
      <c r="AO700" s="309"/>
      <c r="AP700" s="163"/>
    </row>
    <row r="701" spans="2:42" x14ac:dyDescent="0.3">
      <c r="B701" s="6"/>
      <c r="C701" s="6"/>
      <c r="D701" s="6">
        <f t="shared" si="46"/>
        <v>17</v>
      </c>
      <c r="E701" s="640" t="str">
        <f t="shared" si="81"/>
        <v>Disharge MWh</v>
      </c>
      <c r="I701" s="505"/>
      <c r="J701" s="505"/>
      <c r="K701" s="505"/>
      <c r="L701" s="505"/>
      <c r="M701" s="505"/>
      <c r="N701" s="505"/>
      <c r="O701" s="505"/>
      <c r="P701" s="505"/>
      <c r="Q701" s="505"/>
      <c r="R701" s="505"/>
      <c r="S701" s="505"/>
      <c r="T701" s="505"/>
      <c r="U701" s="505"/>
      <c r="V701" s="505"/>
      <c r="W701" s="505"/>
      <c r="X701" s="505"/>
      <c r="Y701" s="505"/>
      <c r="Z701" s="505"/>
      <c r="AA701" s="505"/>
      <c r="AB701" s="505"/>
      <c r="AC701" s="15"/>
      <c r="AD701" s="15"/>
      <c r="AE701" s="15"/>
      <c r="AF701" s="15"/>
      <c r="AG701" s="15"/>
      <c r="AH701" s="15"/>
      <c r="AI701" s="15"/>
      <c r="AJ701" s="15"/>
      <c r="AK701" s="15"/>
      <c r="AL701" s="15"/>
      <c r="AM701" s="15"/>
      <c r="AN701" s="15"/>
      <c r="AO701" s="15"/>
      <c r="AP701" s="163"/>
    </row>
    <row r="702" spans="2:42" x14ac:dyDescent="0.3">
      <c r="B702" s="6"/>
      <c r="C702" s="6"/>
      <c r="D702" s="6">
        <f t="shared" si="46"/>
        <v>17</v>
      </c>
      <c r="E702" s="641" t="str">
        <f t="shared" si="81"/>
        <v>Total ESS DCharge MWh</v>
      </c>
      <c r="I702" s="308">
        <v>18.249999999999993</v>
      </c>
      <c r="J702" s="308">
        <v>18.250000000000004</v>
      </c>
      <c r="K702" s="308">
        <v>18.249999999999993</v>
      </c>
      <c r="L702" s="618">
        <v>18.250000000000007</v>
      </c>
      <c r="M702" s="618">
        <v>18.250000000000007</v>
      </c>
      <c r="N702" s="618">
        <v>18.250000000000007</v>
      </c>
      <c r="O702" s="618">
        <v>18.250000000000007</v>
      </c>
      <c r="P702" s="618">
        <v>18.250000000000007</v>
      </c>
      <c r="Q702" s="618">
        <v>18.250000000000004</v>
      </c>
      <c r="R702" s="618">
        <v>18.250000000000004</v>
      </c>
      <c r="S702" s="618">
        <v>18.250000000000004</v>
      </c>
      <c r="T702" s="618">
        <v>18.250000000000004</v>
      </c>
      <c r="U702" s="618">
        <v>18.250000000000004</v>
      </c>
      <c r="V702" s="618">
        <v>18.25</v>
      </c>
      <c r="W702" s="618">
        <v>18.25</v>
      </c>
      <c r="X702" s="618">
        <v>18.25</v>
      </c>
      <c r="Y702" s="618">
        <v>18.25</v>
      </c>
      <c r="Z702" s="618">
        <v>18.25</v>
      </c>
      <c r="AA702" s="618">
        <v>18.25</v>
      </c>
      <c r="AB702" s="308">
        <v>18.25</v>
      </c>
      <c r="AC702" s="309"/>
      <c r="AD702" s="309"/>
      <c r="AE702" s="309"/>
      <c r="AF702" s="309"/>
      <c r="AG702" s="309"/>
      <c r="AH702" s="309"/>
      <c r="AI702" s="309"/>
      <c r="AJ702" s="309"/>
      <c r="AK702" s="309"/>
      <c r="AL702" s="309"/>
      <c r="AM702" s="309"/>
      <c r="AN702" s="309"/>
      <c r="AO702" s="309"/>
      <c r="AP702" s="163"/>
    </row>
    <row r="703" spans="2:42" x14ac:dyDescent="0.3">
      <c r="B703" s="6"/>
      <c r="C703" s="6"/>
      <c r="D703" s="6">
        <f t="shared" si="46"/>
        <v>17</v>
      </c>
      <c r="E703" s="642" t="str">
        <f t="shared" si="81"/>
        <v>Avg Generation Capacity</v>
      </c>
      <c r="F703" s="303"/>
      <c r="I703" s="308">
        <v>1.6</v>
      </c>
      <c r="J703" s="308">
        <v>1.6</v>
      </c>
      <c r="K703" s="308">
        <v>1.6</v>
      </c>
      <c r="L703" s="618">
        <v>1.6</v>
      </c>
      <c r="M703" s="618">
        <v>1.6</v>
      </c>
      <c r="N703" s="618">
        <v>1.6</v>
      </c>
      <c r="O703" s="618">
        <v>1.6</v>
      </c>
      <c r="P703" s="618">
        <v>1.6</v>
      </c>
      <c r="Q703" s="618">
        <v>1.6</v>
      </c>
      <c r="R703" s="618">
        <v>1.6</v>
      </c>
      <c r="S703" s="618">
        <v>1.6</v>
      </c>
      <c r="T703" s="618">
        <v>1.6</v>
      </c>
      <c r="U703" s="618">
        <v>1.6</v>
      </c>
      <c r="V703" s="618">
        <v>1.6</v>
      </c>
      <c r="W703" s="618">
        <v>1.6</v>
      </c>
      <c r="X703" s="618">
        <v>1.6</v>
      </c>
      <c r="Y703" s="618">
        <v>1.6</v>
      </c>
      <c r="Z703" s="618">
        <v>1.6</v>
      </c>
      <c r="AA703" s="618">
        <v>1.6</v>
      </c>
      <c r="AB703" s="308">
        <v>1.6</v>
      </c>
      <c r="AC703" s="309"/>
      <c r="AD703" s="309"/>
      <c r="AE703" s="309"/>
      <c r="AF703" s="309"/>
      <c r="AG703" s="309"/>
      <c r="AH703" s="309"/>
      <c r="AI703" s="309"/>
      <c r="AJ703" s="309"/>
      <c r="AK703" s="309"/>
      <c r="AL703" s="309"/>
      <c r="AM703" s="309"/>
      <c r="AN703" s="309"/>
      <c r="AO703" s="309"/>
      <c r="AP703" s="163"/>
    </row>
    <row r="704" spans="2:42" x14ac:dyDescent="0.3">
      <c r="B704" s="6"/>
      <c r="C704" s="6"/>
      <c r="D704" s="6">
        <f t="shared" si="46"/>
        <v>17</v>
      </c>
      <c r="E704" s="642" t="str">
        <f t="shared" si="81"/>
        <v>Avg Transmission Capacity</v>
      </c>
      <c r="F704" s="303"/>
      <c r="I704" s="308">
        <v>1.6</v>
      </c>
      <c r="J704" s="308">
        <v>1.6</v>
      </c>
      <c r="K704" s="308">
        <v>1.6</v>
      </c>
      <c r="L704" s="618">
        <v>1.6</v>
      </c>
      <c r="M704" s="618">
        <v>1.6</v>
      </c>
      <c r="N704" s="618">
        <v>1.6</v>
      </c>
      <c r="O704" s="618">
        <v>1.6</v>
      </c>
      <c r="P704" s="618">
        <v>1.6</v>
      </c>
      <c r="Q704" s="618">
        <v>1.6</v>
      </c>
      <c r="R704" s="618">
        <v>1.6</v>
      </c>
      <c r="S704" s="618">
        <v>1.6</v>
      </c>
      <c r="T704" s="618">
        <v>1.6</v>
      </c>
      <c r="U704" s="618">
        <v>1.6</v>
      </c>
      <c r="V704" s="618">
        <v>1.6</v>
      </c>
      <c r="W704" s="618">
        <v>1.6</v>
      </c>
      <c r="X704" s="618">
        <v>1.6</v>
      </c>
      <c r="Y704" s="618">
        <v>1.6</v>
      </c>
      <c r="Z704" s="618">
        <v>1.6</v>
      </c>
      <c r="AA704" s="618">
        <v>1.6</v>
      </c>
      <c r="AB704" s="308">
        <v>1.6</v>
      </c>
      <c r="AC704" s="309"/>
      <c r="AD704" s="309"/>
      <c r="AE704" s="309"/>
      <c r="AF704" s="309"/>
      <c r="AG704" s="309"/>
      <c r="AH704" s="309"/>
      <c r="AI704" s="309"/>
      <c r="AJ704" s="309"/>
      <c r="AK704" s="309"/>
      <c r="AL704" s="309"/>
      <c r="AM704" s="309"/>
      <c r="AN704" s="309"/>
      <c r="AO704" s="309"/>
      <c r="AP704" s="163"/>
    </row>
    <row r="705" spans="2:42" x14ac:dyDescent="0.3">
      <c r="B705" s="6"/>
      <c r="C705" s="6"/>
      <c r="D705" s="6">
        <f t="shared" si="46"/>
        <v>17</v>
      </c>
      <c r="E705" s="642" t="str">
        <f t="shared" si="81"/>
        <v>Avg Distribution Capacity</v>
      </c>
      <c r="F705" s="303"/>
      <c r="I705" s="308">
        <v>1.22</v>
      </c>
      <c r="J705" s="308">
        <v>1.155</v>
      </c>
      <c r="K705" s="308">
        <v>1.1200000000000001</v>
      </c>
      <c r="L705" s="618">
        <v>0.96</v>
      </c>
      <c r="M705" s="618">
        <v>1.25</v>
      </c>
      <c r="N705" s="618">
        <v>1.2290000000000001</v>
      </c>
      <c r="O705" s="618">
        <v>1.2080000000000002</v>
      </c>
      <c r="P705" s="618">
        <v>1.1870000000000003</v>
      </c>
      <c r="Q705" s="618">
        <v>1.1660000000000004</v>
      </c>
      <c r="R705" s="618">
        <v>1.145</v>
      </c>
      <c r="S705" s="618">
        <v>1.1739999999999999</v>
      </c>
      <c r="T705" s="618">
        <v>1.2029999999999998</v>
      </c>
      <c r="U705" s="618">
        <v>1.2319999999999998</v>
      </c>
      <c r="V705" s="618">
        <v>1.2609999999999997</v>
      </c>
      <c r="W705" s="618">
        <v>1.29</v>
      </c>
      <c r="X705" s="618">
        <v>1.2690000000000001</v>
      </c>
      <c r="Y705" s="618">
        <v>1.2480000000000002</v>
      </c>
      <c r="Z705" s="618">
        <v>1.2270000000000003</v>
      </c>
      <c r="AA705" s="618">
        <v>1.2060000000000004</v>
      </c>
      <c r="AB705" s="308">
        <v>1.1850000000000001</v>
      </c>
      <c r="AC705" s="309"/>
      <c r="AD705" s="309"/>
      <c r="AE705" s="309"/>
      <c r="AF705" s="309"/>
      <c r="AG705" s="309"/>
      <c r="AH705" s="309"/>
      <c r="AI705" s="309"/>
      <c r="AJ705" s="309"/>
      <c r="AK705" s="309"/>
      <c r="AL705" s="309"/>
      <c r="AM705" s="309"/>
      <c r="AN705" s="309"/>
      <c r="AO705" s="309"/>
      <c r="AP705" s="163"/>
    </row>
    <row r="706" spans="2:42" x14ac:dyDescent="0.3">
      <c r="B706" s="6"/>
      <c r="C706" s="6"/>
      <c r="D706" s="6">
        <f t="shared" si="46"/>
        <v>17</v>
      </c>
      <c r="E706" s="642" t="str">
        <f t="shared" si="81"/>
        <v>GHG Impacts</v>
      </c>
      <c r="F706" s="303"/>
      <c r="I706" s="308">
        <v>18.25</v>
      </c>
      <c r="J706" s="308">
        <v>18.25</v>
      </c>
      <c r="K706" s="308">
        <v>18.25</v>
      </c>
      <c r="L706" s="618">
        <v>18.25</v>
      </c>
      <c r="M706" s="618">
        <v>18.25</v>
      </c>
      <c r="N706" s="618">
        <v>18.25</v>
      </c>
      <c r="O706" s="618">
        <v>18.25</v>
      </c>
      <c r="P706" s="618">
        <v>18.25</v>
      </c>
      <c r="Q706" s="618">
        <v>18.25</v>
      </c>
      <c r="R706" s="618">
        <v>18.13</v>
      </c>
      <c r="S706" s="618">
        <v>18.25</v>
      </c>
      <c r="T706" s="618">
        <v>18.25</v>
      </c>
      <c r="U706" s="618">
        <v>18.25</v>
      </c>
      <c r="V706" s="618">
        <v>18.25</v>
      </c>
      <c r="W706" s="618">
        <v>17.7</v>
      </c>
      <c r="X706" s="618">
        <v>18.25</v>
      </c>
      <c r="Y706" s="618">
        <v>18.25</v>
      </c>
      <c r="Z706" s="618">
        <v>18.25</v>
      </c>
      <c r="AA706" s="618">
        <v>18.25</v>
      </c>
      <c r="AB706" s="308">
        <v>17.100000000000001</v>
      </c>
      <c r="AC706" s="309"/>
      <c r="AD706" s="309"/>
      <c r="AE706" s="309"/>
      <c r="AF706" s="309"/>
      <c r="AG706" s="309"/>
      <c r="AH706" s="309"/>
      <c r="AI706" s="309"/>
      <c r="AJ706" s="309"/>
      <c r="AK706" s="309"/>
      <c r="AL706" s="309"/>
      <c r="AM706" s="309"/>
      <c r="AN706" s="309"/>
      <c r="AO706" s="309"/>
      <c r="AP706" s="163"/>
    </row>
    <row r="707" spans="2:42" x14ac:dyDescent="0.3">
      <c r="B707" s="6"/>
      <c r="C707" s="6"/>
      <c r="D707" s="6">
        <f t="shared" si="46"/>
        <v>17</v>
      </c>
      <c r="E707" s="642" t="str">
        <f t="shared" si="81"/>
        <v>Market Price Effects - Wholesale Energy</v>
      </c>
      <c r="F707" s="303"/>
      <c r="I707" s="308">
        <v>18.25</v>
      </c>
      <c r="J707" s="308">
        <v>18.25</v>
      </c>
      <c r="K707" s="308">
        <v>18.25</v>
      </c>
      <c r="L707" s="618">
        <v>18.25</v>
      </c>
      <c r="M707" s="618">
        <v>18.25</v>
      </c>
      <c r="N707" s="618">
        <v>18.25</v>
      </c>
      <c r="O707" s="618">
        <v>18.25</v>
      </c>
      <c r="P707" s="618">
        <v>18.25</v>
      </c>
      <c r="Q707" s="618">
        <v>18.25</v>
      </c>
      <c r="R707" s="618">
        <v>18.25</v>
      </c>
      <c r="S707" s="618">
        <v>18.25</v>
      </c>
      <c r="T707" s="618">
        <v>18.25</v>
      </c>
      <c r="U707" s="618">
        <v>18.25</v>
      </c>
      <c r="V707" s="618">
        <v>18.25</v>
      </c>
      <c r="W707" s="618">
        <v>18.25</v>
      </c>
      <c r="X707" s="618">
        <v>18.25</v>
      </c>
      <c r="Y707" s="618">
        <v>18.25</v>
      </c>
      <c r="Z707" s="618">
        <v>18.25</v>
      </c>
      <c r="AA707" s="618">
        <v>18.25</v>
      </c>
      <c r="AB707" s="308">
        <v>18.25</v>
      </c>
      <c r="AC707" s="309"/>
      <c r="AD707" s="309"/>
      <c r="AE707" s="309"/>
      <c r="AF707" s="309"/>
      <c r="AG707" s="309"/>
      <c r="AH707" s="309"/>
      <c r="AI707" s="309"/>
      <c r="AJ707" s="309"/>
      <c r="AK707" s="309"/>
      <c r="AL707" s="309"/>
      <c r="AM707" s="309"/>
      <c r="AN707" s="309"/>
      <c r="AO707" s="309"/>
      <c r="AP707" s="163"/>
    </row>
    <row r="708" spans="2:42" x14ac:dyDescent="0.3">
      <c r="B708" s="6"/>
      <c r="C708" s="6"/>
      <c r="D708" s="6">
        <f t="shared" si="46"/>
        <v>17</v>
      </c>
      <c r="E708" s="642" t="str">
        <f t="shared" si="81"/>
        <v>Market Price Effects - Wholesale Capacity</v>
      </c>
      <c r="F708" s="303"/>
      <c r="I708" s="308">
        <v>0</v>
      </c>
      <c r="J708" s="308">
        <v>0</v>
      </c>
      <c r="K708" s="308">
        <v>0</v>
      </c>
      <c r="L708" s="618">
        <v>0</v>
      </c>
      <c r="M708" s="618">
        <v>0</v>
      </c>
      <c r="N708" s="618">
        <v>0</v>
      </c>
      <c r="O708" s="618">
        <v>0</v>
      </c>
      <c r="P708" s="618">
        <v>0</v>
      </c>
      <c r="Q708" s="618">
        <v>0</v>
      </c>
      <c r="R708" s="618">
        <v>0</v>
      </c>
      <c r="S708" s="618">
        <v>0</v>
      </c>
      <c r="T708" s="618">
        <v>0</v>
      </c>
      <c r="U708" s="618">
        <v>0</v>
      </c>
      <c r="V708" s="618">
        <v>0</v>
      </c>
      <c r="W708" s="618">
        <v>0</v>
      </c>
      <c r="X708" s="618">
        <v>0</v>
      </c>
      <c r="Y708" s="618">
        <v>0</v>
      </c>
      <c r="Z708" s="618">
        <v>0</v>
      </c>
      <c r="AA708" s="618">
        <v>0</v>
      </c>
      <c r="AB708" s="308">
        <v>0</v>
      </c>
      <c r="AC708" s="309"/>
      <c r="AD708" s="309"/>
      <c r="AE708" s="309"/>
      <c r="AF708" s="309"/>
      <c r="AG708" s="309"/>
      <c r="AH708" s="309"/>
      <c r="AI708" s="309"/>
      <c r="AJ708" s="309"/>
      <c r="AK708" s="309"/>
      <c r="AL708" s="309"/>
      <c r="AM708" s="309"/>
      <c r="AN708" s="309"/>
      <c r="AO708" s="309"/>
      <c r="AP708" s="163"/>
    </row>
    <row r="709" spans="2:42" x14ac:dyDescent="0.3">
      <c r="B709" s="6"/>
      <c r="C709" s="6"/>
      <c r="D709" s="6">
        <f t="shared" si="46"/>
        <v>17</v>
      </c>
      <c r="E709" s="544"/>
      <c r="F709" s="545"/>
      <c r="G709" s="545"/>
      <c r="H709" s="545"/>
      <c r="I709" s="545"/>
      <c r="J709" s="545"/>
      <c r="K709" s="545"/>
      <c r="L709" s="545"/>
      <c r="M709" s="545"/>
      <c r="N709" s="545"/>
      <c r="O709" s="545"/>
      <c r="P709" s="545"/>
      <c r="Q709" s="545"/>
      <c r="R709" s="545"/>
      <c r="S709" s="545"/>
      <c r="T709" s="545"/>
      <c r="U709" s="545"/>
      <c r="V709" s="545"/>
      <c r="W709" s="545"/>
      <c r="X709" s="545"/>
      <c r="Y709" s="545"/>
      <c r="Z709" s="545"/>
      <c r="AA709" s="545"/>
      <c r="AB709" s="545"/>
      <c r="AC709" s="545"/>
      <c r="AD709" s="545"/>
      <c r="AE709" s="545"/>
      <c r="AF709" s="545"/>
      <c r="AG709" s="545"/>
      <c r="AH709" s="545"/>
      <c r="AI709" s="545"/>
      <c r="AJ709" s="545"/>
      <c r="AK709" s="545"/>
      <c r="AL709" s="545"/>
      <c r="AM709" s="545"/>
      <c r="AN709" s="545"/>
      <c r="AO709" s="545"/>
      <c r="AP709" s="543"/>
    </row>
  </sheetData>
  <sheetProtection algorithmName="SHA-512" hashValue="Uf8B00/UG4wB+6ljR5AaUKAraZDh0DNqIaTKYLGgYjF/UWGkP6K/JrqF/YHsMBPKAGsyQJtSsR7FcwifQBnxrQ==" saltValue="TTAq804E6mAUX9ATtocpwg==" spinCount="100000" sheet="1" objects="1" scenarios="1" selectLockedCells="1"/>
  <mergeCells count="2">
    <mergeCell ref="E2:H2"/>
    <mergeCell ref="A1:AO1"/>
  </mergeCells>
  <phoneticPr fontId="25"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4663A71-5CB7-4942-A2B7-8F252F8FBDCA}">
          <x14:formula1>
            <xm:f>Inputs!$B$10:$B$39</xm:f>
          </x14:formula1>
          <xm:sqref>F5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4" tint="0.59999389629810485"/>
  </sheetPr>
  <dimension ref="A1:BY45"/>
  <sheetViews>
    <sheetView zoomScale="80" zoomScaleNormal="80" workbookViewId="0">
      <pane xSplit="4" ySplit="8" topLeftCell="G9" activePane="bottomRight" state="frozen"/>
      <selection pane="topRight" activeCell="E1" sqref="E1"/>
      <selection pane="bottomLeft" activeCell="A8" sqref="A8"/>
      <selection pane="bottomRight" activeCell="C49" sqref="C49"/>
    </sheetView>
  </sheetViews>
  <sheetFormatPr defaultColWidth="9.109375" defaultRowHeight="14.4" outlineLevelRow="1" outlineLevelCol="2" x14ac:dyDescent="0.3"/>
  <cols>
    <col min="1" max="1" width="7.109375" bestFit="1" customWidth="1"/>
    <col min="2" max="2" width="14.5546875" customWidth="1"/>
    <col min="3" max="3" width="28.109375" bestFit="1" customWidth="1"/>
    <col min="4" max="4" width="41.88671875" customWidth="1" outlineLevel="1"/>
    <col min="5" max="5" width="17.33203125" hidden="1" customWidth="1" outlineLevel="2"/>
    <col min="6" max="6" width="11.44140625" style="16" hidden="1" customWidth="1" outlineLevel="2"/>
    <col min="7" max="7" width="30.109375" customWidth="1" outlineLevel="1" collapsed="1"/>
    <col min="8" max="8" width="28.109375" customWidth="1" outlineLevel="1"/>
    <col min="9" max="9" width="28.88671875" bestFit="1" customWidth="1" outlineLevel="1"/>
    <col min="10" max="10" width="13.109375" customWidth="1" outlineLevel="1"/>
    <col min="11" max="11" width="27.109375" customWidth="1" outlineLevel="1"/>
    <col min="12" max="12" width="18.5546875" customWidth="1" outlineLevel="1"/>
    <col min="13" max="13" width="24.44140625" style="657" customWidth="1"/>
    <col min="14" max="14" width="33.6640625" bestFit="1" customWidth="1" outlineLevel="1"/>
    <col min="15" max="15" width="22.5546875" customWidth="1" outlineLevel="1"/>
    <col min="16" max="16" width="14" customWidth="1" outlineLevel="1"/>
    <col min="17" max="17" width="20.5546875" customWidth="1" outlineLevel="1"/>
    <col min="18" max="18" width="37.44140625" customWidth="1" outlineLevel="1"/>
    <col min="19" max="19" width="33.5546875" customWidth="1" outlineLevel="1"/>
    <col min="20" max="20" width="14.44140625" customWidth="1" outlineLevel="1"/>
    <col min="21" max="21" width="13.5546875" customWidth="1" outlineLevel="1"/>
    <col min="22" max="22" width="22.5546875" customWidth="1" outlineLevel="1"/>
    <col min="23" max="23" width="21.109375" customWidth="1" outlineLevel="1"/>
    <col min="24" max="24" width="9.5546875" customWidth="1" outlineLevel="1"/>
    <col min="25" max="25" width="10.109375" customWidth="1" outlineLevel="1"/>
    <col min="26" max="26" width="21.5546875" bestFit="1" customWidth="1" outlineLevel="1"/>
    <col min="27" max="27" width="26.109375" customWidth="1" outlineLevel="2"/>
    <col min="28" max="28" width="22.5546875" customWidth="1" outlineLevel="2"/>
    <col min="29" max="29" width="24.44140625" customWidth="1" outlineLevel="2"/>
    <col min="30" max="30" width="15.44140625" customWidth="1" outlineLevel="1"/>
    <col min="31" max="31" width="27.88671875" bestFit="1" customWidth="1" outlineLevel="1"/>
    <col min="32" max="32" width="23.109375" bestFit="1" customWidth="1" outlineLevel="1"/>
    <col min="33" max="33" width="18.5546875" customWidth="1" outlineLevel="1"/>
    <col min="34" max="34" width="19.109375" customWidth="1" outlineLevel="1"/>
    <col min="35" max="35" width="22.88671875" bestFit="1" customWidth="1" outlineLevel="1"/>
    <col min="36" max="36" width="18.109375" customWidth="1" outlineLevel="1"/>
    <col min="37" max="37" width="14.44140625" bestFit="1" customWidth="1" outlineLevel="1"/>
    <col min="38" max="38" width="30.5546875" bestFit="1" customWidth="1" outlineLevel="1"/>
    <col min="39" max="39" width="38.5546875" bestFit="1" customWidth="1" outlineLevel="1"/>
    <col min="40" max="40" width="27" bestFit="1" customWidth="1" outlineLevel="1"/>
    <col min="41" max="41" width="29.33203125" bestFit="1" customWidth="1" outlineLevel="1"/>
    <col min="42" max="42" width="15.6640625" customWidth="1" outlineLevel="1"/>
    <col min="43" max="43" width="14.33203125" bestFit="1" customWidth="1" outlineLevel="1"/>
    <col min="44" max="44" width="16.44140625" customWidth="1" outlineLevel="1"/>
    <col min="45" max="45" width="3.5546875" customWidth="1" outlineLevel="1"/>
    <col min="46" max="46" width="15.109375" customWidth="1" outlineLevel="1"/>
    <col min="47" max="47" width="30.5546875" customWidth="1" outlineLevel="1"/>
    <col min="48" max="48" width="14.88671875" bestFit="1" customWidth="1" outlineLevel="1"/>
    <col min="49" max="49" width="38.6640625" bestFit="1" customWidth="1" outlineLevel="1"/>
    <col min="50" max="50" width="17.44140625" bestFit="1" customWidth="1" outlineLevel="1"/>
    <col min="51" max="51" width="18" bestFit="1" customWidth="1" outlineLevel="1"/>
    <col min="52" max="52" width="28.44140625" bestFit="1" customWidth="1" outlineLevel="2"/>
    <col min="53" max="53" width="30.109375" bestFit="1" customWidth="1" outlineLevel="2"/>
    <col min="54" max="54" width="3.5546875" customWidth="1" outlineLevel="1"/>
    <col min="55" max="55" width="7.109375" customWidth="1" outlineLevel="1"/>
    <col min="56" max="56" width="8.44140625" customWidth="1" outlineLevel="1"/>
    <col min="57" max="57" width="15.109375" customWidth="1" outlineLevel="1"/>
    <col min="58" max="58" width="16.5546875" customWidth="1" outlineLevel="1"/>
    <col min="59" max="59" width="28.5546875" customWidth="1" outlineLevel="1"/>
    <col min="60" max="60" width="15.109375" customWidth="1" outlineLevel="1"/>
    <col min="61" max="61" width="14.5546875" customWidth="1" outlineLevel="1"/>
    <col min="62" max="62" width="15.5546875" customWidth="1" outlineLevel="1"/>
    <col min="63" max="63" width="18.5546875" customWidth="1" outlineLevel="1"/>
    <col min="64" max="64" width="9.109375" bestFit="1" customWidth="1"/>
    <col min="65" max="65" width="3.5546875" customWidth="1"/>
    <col min="66" max="67" width="20.109375" customWidth="1"/>
    <col min="68" max="68" width="18.109375" bestFit="1" customWidth="1"/>
    <col min="69" max="69" width="27" customWidth="1"/>
    <col min="70" max="70" width="10.109375" customWidth="1"/>
    <col min="71" max="71" width="21.109375" bestFit="1" customWidth="1"/>
    <col min="72" max="72" width="21.109375" customWidth="1"/>
    <col min="73" max="73" width="28.88671875" customWidth="1"/>
    <col min="74" max="74" width="55.44140625" bestFit="1" customWidth="1"/>
    <col min="75" max="75" width="3.5546875" customWidth="1"/>
    <col min="77" max="77" width="24.44140625" bestFit="1" customWidth="1"/>
  </cols>
  <sheetData>
    <row r="1" spans="1:76" s="647" customFormat="1" ht="21" x14ac:dyDescent="0.4">
      <c r="A1" s="646" t="s">
        <v>621</v>
      </c>
      <c r="F1" s="648"/>
      <c r="M1" s="649"/>
    </row>
    <row r="2" spans="1:76" x14ac:dyDescent="0.3">
      <c r="A2" s="12"/>
      <c r="B2" s="12"/>
      <c r="C2" s="12"/>
      <c r="D2" s="12"/>
      <c r="E2" s="12"/>
      <c r="F2" s="11"/>
      <c r="G2" s="12"/>
      <c r="H2" s="12"/>
      <c r="I2" s="12"/>
      <c r="J2" s="12"/>
      <c r="K2" s="12"/>
      <c r="L2" s="12"/>
      <c r="M2" s="650"/>
      <c r="P2" s="651"/>
      <c r="Q2" s="651"/>
      <c r="R2" s="651"/>
      <c r="S2" s="651"/>
      <c r="T2" s="652"/>
      <c r="U2" s="652"/>
      <c r="V2" s="652"/>
      <c r="W2" s="652"/>
      <c r="X2" s="652"/>
      <c r="Y2" s="652"/>
      <c r="Z2" s="652"/>
      <c r="AA2" s="652"/>
      <c r="AB2" s="652"/>
      <c r="AC2" s="652"/>
      <c r="AD2" s="651"/>
      <c r="AE2" s="652"/>
      <c r="AF2" s="652"/>
      <c r="AG2" s="652"/>
      <c r="AH2" s="651"/>
      <c r="AI2" s="651"/>
      <c r="AJ2" s="651"/>
      <c r="AK2" s="651"/>
      <c r="AL2" s="651"/>
      <c r="AM2" s="651"/>
      <c r="AN2" s="651"/>
      <c r="AO2" s="651"/>
      <c r="AP2" s="651"/>
      <c r="AQ2" s="651"/>
      <c r="AR2" s="651"/>
      <c r="AS2" s="651"/>
      <c r="AT2" s="997"/>
      <c r="AU2" s="997"/>
      <c r="AV2" s="997"/>
      <c r="AW2" s="997"/>
      <c r="AX2" s="997"/>
      <c r="AY2" s="997"/>
      <c r="AZ2" s="997"/>
      <c r="BA2" s="997"/>
      <c r="BB2" s="651"/>
      <c r="BC2" s="997"/>
      <c r="BD2" s="997"/>
      <c r="BE2" s="997"/>
      <c r="BF2" s="997"/>
      <c r="BG2" s="997"/>
      <c r="BH2" s="997"/>
      <c r="BI2" s="997"/>
      <c r="BJ2" s="997"/>
      <c r="BK2" s="997"/>
      <c r="BL2" s="997"/>
      <c r="BM2" s="651"/>
      <c r="BN2" s="651"/>
      <c r="BO2" s="651"/>
      <c r="BP2" s="651"/>
      <c r="BQ2" s="651"/>
      <c r="BR2" s="651"/>
      <c r="BS2" s="651"/>
      <c r="BT2" s="651"/>
      <c r="BU2" s="651"/>
      <c r="BV2" s="651"/>
      <c r="BW2" s="651"/>
    </row>
    <row r="3" spans="1:76" ht="29.25" hidden="1" customHeight="1" outlineLevel="1" x14ac:dyDescent="0.3">
      <c r="A3" s="12"/>
      <c r="B3" s="12">
        <v>1</v>
      </c>
      <c r="C3" s="12">
        <f t="shared" ref="C3:C4" si="0">B3+1</f>
        <v>2</v>
      </c>
      <c r="D3" s="12">
        <f t="shared" ref="D3:D4" si="1">C3+1</f>
        <v>3</v>
      </c>
      <c r="E3" s="12">
        <f t="shared" ref="E3:E4" si="2">D3+1</f>
        <v>4</v>
      </c>
      <c r="F3" s="12">
        <f t="shared" ref="F3:F4" si="3">E3+1</f>
        <v>5</v>
      </c>
      <c r="G3" s="12">
        <f t="shared" ref="G3:G4" si="4">F3+1</f>
        <v>6</v>
      </c>
      <c r="H3" s="12">
        <f t="shared" ref="H3:H4" si="5">G3+1</f>
        <v>7</v>
      </c>
      <c r="I3" s="12">
        <f t="shared" ref="I3:I4" si="6">H3+1</f>
        <v>8</v>
      </c>
      <c r="J3" s="12">
        <f t="shared" ref="J3:J4" si="7">I3+1</f>
        <v>9</v>
      </c>
      <c r="K3" s="12">
        <f t="shared" ref="K3:K4" si="8">J3+1</f>
        <v>10</v>
      </c>
      <c r="L3" s="12">
        <f t="shared" ref="L3:L4" si="9">K3+1</f>
        <v>11</v>
      </c>
      <c r="M3" s="12">
        <f t="shared" ref="M3:M4" si="10">L3+1</f>
        <v>12</v>
      </c>
      <c r="N3" s="12">
        <f t="shared" ref="N3:N4" si="11">M3+1</f>
        <v>13</v>
      </c>
      <c r="O3" s="12">
        <f t="shared" ref="O3:O4" si="12">N3+1</f>
        <v>14</v>
      </c>
      <c r="P3" s="12">
        <f t="shared" ref="P3:P4" si="13">O3+1</f>
        <v>15</v>
      </c>
      <c r="Q3" s="12">
        <f t="shared" ref="Q3:Q4" si="14">P3+1</f>
        <v>16</v>
      </c>
      <c r="R3" s="12">
        <f t="shared" ref="R3:R4" si="15">Q3+1</f>
        <v>17</v>
      </c>
      <c r="S3" s="12">
        <f t="shared" ref="S3:S4" si="16">R3+1</f>
        <v>18</v>
      </c>
      <c r="T3" s="12">
        <f t="shared" ref="T3:T4" si="17">S3+1</f>
        <v>19</v>
      </c>
      <c r="U3" s="12">
        <f t="shared" ref="U3:U4" si="18">T3+1</f>
        <v>20</v>
      </c>
      <c r="V3" s="12">
        <f t="shared" ref="V3:V4" si="19">U3+1</f>
        <v>21</v>
      </c>
      <c r="W3" s="12">
        <f t="shared" ref="W3:W4" si="20">V3+1</f>
        <v>22</v>
      </c>
      <c r="X3" s="12">
        <f t="shared" ref="X3:X4" si="21">W3+1</f>
        <v>23</v>
      </c>
      <c r="Y3" s="12">
        <f t="shared" ref="Y3:Y4" si="22">X3+1</f>
        <v>24</v>
      </c>
      <c r="Z3" s="12">
        <f t="shared" ref="Z3:Z4" si="23">Y3+1</f>
        <v>25</v>
      </c>
      <c r="AA3" s="12">
        <f t="shared" ref="AA3:AA4" si="24">Z3+1</f>
        <v>26</v>
      </c>
      <c r="AB3" s="12">
        <f t="shared" ref="AB3:AB4" si="25">AA3+1</f>
        <v>27</v>
      </c>
      <c r="AC3" s="12">
        <f t="shared" ref="AC3:AC4" si="26">AB3+1</f>
        <v>28</v>
      </c>
      <c r="AD3" s="651"/>
      <c r="AH3" s="651"/>
      <c r="AI3" s="651"/>
      <c r="AJ3" s="651"/>
      <c r="AK3" s="651"/>
      <c r="AL3" s="651"/>
      <c r="AM3" s="651"/>
      <c r="AN3" s="651"/>
      <c r="AO3" s="651"/>
      <c r="AP3" s="651"/>
      <c r="AQ3" s="651"/>
      <c r="AR3" s="651"/>
      <c r="AS3" s="651"/>
      <c r="AT3" s="653"/>
      <c r="AU3" s="653"/>
      <c r="AV3" s="653"/>
      <c r="AW3" s="653"/>
      <c r="AX3" s="653"/>
      <c r="AY3" s="653"/>
      <c r="AZ3" s="1001"/>
      <c r="BA3" s="1001"/>
      <c r="BB3" s="651"/>
      <c r="BC3" s="653"/>
      <c r="BD3" s="653"/>
      <c r="BE3" s="653"/>
      <c r="BF3" s="653"/>
      <c r="BG3" s="653"/>
      <c r="BH3" s="653"/>
      <c r="BI3" s="653"/>
      <c r="BJ3" s="653"/>
      <c r="BK3" s="653"/>
      <c r="BL3" s="653"/>
      <c r="BM3" s="651"/>
      <c r="BN3" s="651"/>
      <c r="BO3" s="651"/>
      <c r="BP3" s="651"/>
      <c r="BQ3" s="651"/>
      <c r="BR3" s="651"/>
      <c r="BS3" s="651"/>
      <c r="BT3" s="651"/>
      <c r="BU3" s="651"/>
      <c r="BV3" s="651"/>
      <c r="BW3" s="651"/>
    </row>
    <row r="4" spans="1:76" ht="29.25" hidden="1" customHeight="1" collapsed="1" x14ac:dyDescent="0.3">
      <c r="A4" s="12"/>
      <c r="B4" s="12">
        <v>1</v>
      </c>
      <c r="C4" s="12">
        <f t="shared" si="0"/>
        <v>2</v>
      </c>
      <c r="D4" s="12">
        <f t="shared" si="1"/>
        <v>3</v>
      </c>
      <c r="E4" s="12">
        <f t="shared" si="2"/>
        <v>4</v>
      </c>
      <c r="F4" s="12">
        <f t="shared" si="3"/>
        <v>5</v>
      </c>
      <c r="G4" s="12">
        <f t="shared" si="4"/>
        <v>6</v>
      </c>
      <c r="H4" s="12">
        <f t="shared" si="5"/>
        <v>7</v>
      </c>
      <c r="I4" s="12">
        <f t="shared" si="6"/>
        <v>8</v>
      </c>
      <c r="J4" s="12">
        <f t="shared" si="7"/>
        <v>9</v>
      </c>
      <c r="K4" s="12">
        <f t="shared" si="8"/>
        <v>10</v>
      </c>
      <c r="L4" s="12">
        <f t="shared" si="9"/>
        <v>11</v>
      </c>
      <c r="M4" s="12">
        <f t="shared" si="10"/>
        <v>12</v>
      </c>
      <c r="N4" s="12">
        <f t="shared" si="11"/>
        <v>13</v>
      </c>
      <c r="O4" s="12">
        <f t="shared" si="12"/>
        <v>14</v>
      </c>
      <c r="P4" s="12">
        <f t="shared" si="13"/>
        <v>15</v>
      </c>
      <c r="Q4" s="12">
        <f t="shared" si="14"/>
        <v>16</v>
      </c>
      <c r="R4" s="12">
        <f t="shared" si="15"/>
        <v>17</v>
      </c>
      <c r="S4" s="12">
        <f t="shared" si="16"/>
        <v>18</v>
      </c>
      <c r="T4" s="12">
        <f t="shared" si="17"/>
        <v>19</v>
      </c>
      <c r="U4" s="12">
        <f t="shared" si="18"/>
        <v>20</v>
      </c>
      <c r="V4" s="12">
        <f t="shared" si="19"/>
        <v>21</v>
      </c>
      <c r="W4" s="12">
        <f t="shared" si="20"/>
        <v>22</v>
      </c>
      <c r="X4" s="12">
        <f t="shared" si="21"/>
        <v>23</v>
      </c>
      <c r="Y4" s="12">
        <f t="shared" si="22"/>
        <v>24</v>
      </c>
      <c r="Z4" s="12">
        <f t="shared" si="23"/>
        <v>25</v>
      </c>
      <c r="AA4" s="12">
        <f t="shared" si="24"/>
        <v>26</v>
      </c>
      <c r="AB4" s="12">
        <f t="shared" si="25"/>
        <v>27</v>
      </c>
      <c r="AC4" s="12">
        <f t="shared" si="26"/>
        <v>28</v>
      </c>
      <c r="AD4" s="651"/>
      <c r="AH4" s="651"/>
      <c r="AI4" s="651"/>
      <c r="AJ4" s="651"/>
      <c r="AK4" s="651"/>
      <c r="AL4" s="651"/>
      <c r="AM4" s="651"/>
      <c r="AN4" s="651"/>
      <c r="AO4" s="651"/>
      <c r="AP4" s="651"/>
      <c r="AQ4" s="651"/>
      <c r="AR4" s="651"/>
      <c r="AS4" s="651"/>
      <c r="AT4" s="653"/>
      <c r="AU4" s="653"/>
      <c r="AV4" s="653"/>
      <c r="AW4" s="655"/>
      <c r="AX4" s="653"/>
      <c r="AY4" s="653"/>
      <c r="AZ4" s="654"/>
      <c r="BA4" s="654"/>
      <c r="BB4" s="651"/>
      <c r="BC4" s="653"/>
      <c r="BD4" s="653"/>
      <c r="BE4" s="653"/>
      <c r="BF4" s="653"/>
      <c r="BG4" s="653"/>
      <c r="BH4" s="653"/>
      <c r="BI4" s="653"/>
      <c r="BJ4" s="653"/>
      <c r="BK4" s="653"/>
      <c r="BL4" s="653"/>
      <c r="BM4" s="651"/>
      <c r="BN4" s="651"/>
      <c r="BO4" s="651"/>
      <c r="BP4" s="651"/>
      <c r="BQ4" s="651"/>
      <c r="BR4" s="651"/>
      <c r="BS4" s="651"/>
      <c r="BT4" s="651"/>
      <c r="BU4" s="651"/>
      <c r="BV4" s="651"/>
      <c r="BW4" s="651"/>
    </row>
    <row r="5" spans="1:76" ht="29.25" customHeight="1" x14ac:dyDescent="0.3">
      <c r="A5" s="12"/>
      <c r="B5" s="12"/>
      <c r="C5" s="12"/>
      <c r="D5" s="18"/>
      <c r="E5" s="656">
        <f>'Gap Calculator'!E25</f>
        <v>2028</v>
      </c>
      <c r="F5" s="11"/>
      <c r="G5" s="8" t="s">
        <v>672</v>
      </c>
      <c r="H5" s="12"/>
      <c r="I5" s="12"/>
      <c r="J5" s="12"/>
      <c r="K5" s="12"/>
      <c r="L5" s="12"/>
      <c r="O5" s="12"/>
      <c r="P5" s="12"/>
      <c r="Q5" s="12"/>
      <c r="T5" s="12"/>
      <c r="U5" s="12"/>
      <c r="V5" s="653"/>
      <c r="W5" s="653"/>
      <c r="X5" s="653"/>
      <c r="Y5" s="653"/>
      <c r="Z5" s="653"/>
      <c r="AA5" s="653"/>
      <c r="AB5" s="653"/>
      <c r="AC5" s="653"/>
      <c r="AD5" s="651"/>
      <c r="AH5" s="651"/>
      <c r="AI5" s="651"/>
      <c r="AJ5" s="651"/>
      <c r="AK5" s="651"/>
      <c r="AL5" s="651"/>
      <c r="AM5" s="651"/>
      <c r="AN5" s="651"/>
      <c r="AO5" s="651"/>
      <c r="AP5" s="651"/>
      <c r="AQ5" s="651"/>
      <c r="AR5" s="651"/>
      <c r="AS5" s="651"/>
      <c r="AT5" s="653"/>
      <c r="AU5" s="653"/>
      <c r="AV5" s="653"/>
      <c r="AW5" s="658"/>
      <c r="AX5" s="653"/>
      <c r="AY5" s="653"/>
      <c r="AZ5" s="654"/>
      <c r="BA5" s="654"/>
      <c r="BB5" s="651"/>
      <c r="BC5" s="653"/>
      <c r="BD5" s="653"/>
      <c r="BE5" s="653"/>
      <c r="BF5" s="653"/>
      <c r="BG5" s="653"/>
      <c r="BH5" s="653"/>
      <c r="BI5" s="653"/>
      <c r="BJ5" s="653"/>
      <c r="BK5" s="653"/>
      <c r="BL5" s="653"/>
      <c r="BM5" s="651"/>
      <c r="BN5" s="651"/>
      <c r="BO5" s="651"/>
      <c r="BP5" s="651"/>
      <c r="BQ5" s="651"/>
      <c r="BR5" s="651"/>
      <c r="BS5" s="651"/>
      <c r="BT5" s="651"/>
      <c r="BU5" s="651"/>
      <c r="BV5" s="651"/>
      <c r="BW5" s="651"/>
    </row>
    <row r="6" spans="1:76" ht="15" thickBot="1" x14ac:dyDescent="0.35">
      <c r="A6" s="12"/>
      <c r="B6" s="12"/>
      <c r="C6" s="12"/>
      <c r="D6" s="12"/>
      <c r="E6" s="12"/>
      <c r="F6" s="11"/>
      <c r="G6" s="659"/>
      <c r="H6" s="12"/>
      <c r="I6" s="12"/>
      <c r="J6" s="12"/>
      <c r="K6" s="12"/>
      <c r="L6" s="12"/>
      <c r="O6" s="6">
        <v>1</v>
      </c>
      <c r="P6" s="6">
        <f>O6+1</f>
        <v>2</v>
      </c>
      <c r="Q6" s="6">
        <f t="shared" ref="Q6:R6" si="27">P6+1</f>
        <v>3</v>
      </c>
      <c r="R6" s="6">
        <f t="shared" si="27"/>
        <v>4</v>
      </c>
      <c r="S6" s="6">
        <f t="shared" ref="S6" si="28">R6+1</f>
        <v>5</v>
      </c>
      <c r="T6" s="6">
        <f t="shared" ref="T6" si="29">S6+1</f>
        <v>6</v>
      </c>
      <c r="U6" s="6">
        <f t="shared" ref="U6" si="30">T6+1</f>
        <v>7</v>
      </c>
      <c r="V6" s="6">
        <f t="shared" ref="V6" si="31">U6+1</f>
        <v>8</v>
      </c>
      <c r="W6" s="6">
        <f t="shared" ref="W6" si="32">V6+1</f>
        <v>9</v>
      </c>
      <c r="X6" s="6">
        <f t="shared" ref="X6" si="33">W6+1</f>
        <v>10</v>
      </c>
      <c r="Y6" s="6">
        <f t="shared" ref="Y6" si="34">X6+1</f>
        <v>11</v>
      </c>
      <c r="Z6" s="6">
        <f t="shared" ref="Z6" si="35">Y6+1</f>
        <v>12</v>
      </c>
      <c r="AA6" s="6">
        <f t="shared" ref="AA6" si="36">Z6+1</f>
        <v>13</v>
      </c>
      <c r="AB6" s="6">
        <f t="shared" ref="AB6" si="37">AA6+1</f>
        <v>14</v>
      </c>
      <c r="AC6" s="6">
        <f t="shared" ref="AC6" si="38">AB6+1</f>
        <v>15</v>
      </c>
      <c r="AD6" s="6">
        <f>AC6+1</f>
        <v>16</v>
      </c>
      <c r="AE6" s="6">
        <f t="shared" ref="AE6" si="39">AD6+1</f>
        <v>17</v>
      </c>
      <c r="AF6" s="6">
        <f t="shared" ref="AF6" si="40">AE6+1</f>
        <v>18</v>
      </c>
      <c r="AG6" s="6">
        <f t="shared" ref="AG6" si="41">AF6+1</f>
        <v>19</v>
      </c>
      <c r="AH6" s="6">
        <f t="shared" ref="AH6" si="42">AG6+1</f>
        <v>20</v>
      </c>
      <c r="AI6" s="6">
        <f t="shared" ref="AI6" si="43">AH6+1</f>
        <v>21</v>
      </c>
      <c r="AJ6" s="6">
        <f t="shared" ref="AJ6" si="44">AI6+1</f>
        <v>22</v>
      </c>
      <c r="AK6" s="6">
        <f t="shared" ref="AK6" si="45">AJ6+1</f>
        <v>23</v>
      </c>
      <c r="AL6" s="6">
        <f t="shared" ref="AL6" si="46">AK6+1</f>
        <v>24</v>
      </c>
      <c r="AM6" s="6">
        <f t="shared" ref="AM6" si="47">AL6+1</f>
        <v>25</v>
      </c>
      <c r="AN6" s="6">
        <f t="shared" ref="AN6" si="48">AM6+1</f>
        <v>26</v>
      </c>
      <c r="AO6" s="6">
        <f t="shared" ref="AO6" si="49">AN6+1</f>
        <v>27</v>
      </c>
      <c r="AP6" s="6">
        <f t="shared" ref="AP6" si="50">AO6+1</f>
        <v>28</v>
      </c>
      <c r="AQ6" s="6">
        <f t="shared" ref="AQ6" si="51">AP6+1</f>
        <v>29</v>
      </c>
      <c r="AR6" s="6">
        <f t="shared" ref="AR6" si="52">AQ6+1</f>
        <v>30</v>
      </c>
      <c r="AS6" s="6">
        <f t="shared" ref="AS6" si="53">AR6+1</f>
        <v>31</v>
      </c>
      <c r="AT6" s="6">
        <f t="shared" ref="AT6" si="54">AS6+1</f>
        <v>32</v>
      </c>
      <c r="AU6" s="6">
        <f t="shared" ref="AU6" si="55">AT6+1</f>
        <v>33</v>
      </c>
      <c r="AV6" s="6">
        <f t="shared" ref="AV6" si="56">AU6+1</f>
        <v>34</v>
      </c>
      <c r="AW6" s="6">
        <f t="shared" ref="AW6" si="57">AV6+1</f>
        <v>35</v>
      </c>
      <c r="AX6" s="6">
        <f t="shared" ref="AX6" si="58">AW6+1</f>
        <v>36</v>
      </c>
      <c r="AY6" s="6">
        <f t="shared" ref="AY6" si="59">AX6+1</f>
        <v>37</v>
      </c>
      <c r="AZ6" s="6">
        <f t="shared" ref="AZ6" si="60">AY6+1</f>
        <v>38</v>
      </c>
      <c r="BA6" s="6">
        <f t="shared" ref="BA6" si="61">AZ6+1</f>
        <v>39</v>
      </c>
      <c r="BB6" s="6">
        <f t="shared" ref="BB6" si="62">BA6+1</f>
        <v>40</v>
      </c>
      <c r="BC6" s="6">
        <f t="shared" ref="BC6" si="63">BB6+1</f>
        <v>41</v>
      </c>
      <c r="BD6" s="6">
        <f t="shared" ref="BD6" si="64">BC6+1</f>
        <v>42</v>
      </c>
      <c r="BE6" s="6">
        <f t="shared" ref="BE6" si="65">BD6+1</f>
        <v>43</v>
      </c>
      <c r="BF6" s="6">
        <f t="shared" ref="BF6" si="66">BE6+1</f>
        <v>44</v>
      </c>
      <c r="BG6" s="6">
        <f t="shared" ref="BG6" si="67">BF6+1</f>
        <v>45</v>
      </c>
      <c r="BH6" s="6">
        <f t="shared" ref="BH6" si="68">BG6+1</f>
        <v>46</v>
      </c>
      <c r="BI6" s="6">
        <f t="shared" ref="BI6" si="69">BH6+1</f>
        <v>47</v>
      </c>
      <c r="BJ6" s="6">
        <f t="shared" ref="BJ6" si="70">BI6+1</f>
        <v>48</v>
      </c>
      <c r="BK6" s="6">
        <f t="shared" ref="BK6" si="71">BJ6+1</f>
        <v>49</v>
      </c>
      <c r="BL6" s="6">
        <f t="shared" ref="BL6" si="72">BK6+1</f>
        <v>50</v>
      </c>
      <c r="BM6" s="6">
        <f t="shared" ref="BM6" si="73">BL6+1</f>
        <v>51</v>
      </c>
      <c r="BN6" s="6">
        <f t="shared" ref="BN6" si="74">BM6+1</f>
        <v>52</v>
      </c>
      <c r="BO6" s="6">
        <f t="shared" ref="BO6" si="75">BN6+1</f>
        <v>53</v>
      </c>
      <c r="BP6" s="6">
        <f t="shared" ref="BP6" si="76">BO6+1</f>
        <v>54</v>
      </c>
      <c r="BQ6" s="6">
        <f t="shared" ref="BQ6" si="77">BP6+1</f>
        <v>55</v>
      </c>
      <c r="BR6" s="6">
        <f t="shared" ref="BR6" si="78">BQ6+1</f>
        <v>56</v>
      </c>
      <c r="BS6" s="6">
        <f t="shared" ref="BS6" si="79">BR6+1</f>
        <v>57</v>
      </c>
      <c r="BT6" s="6">
        <f t="shared" ref="BT6" si="80">BS6+1</f>
        <v>58</v>
      </c>
      <c r="BU6" s="6">
        <f t="shared" ref="BU6:BW6" si="81">BT6+1</f>
        <v>59</v>
      </c>
      <c r="BV6" s="6">
        <f t="shared" si="81"/>
        <v>60</v>
      </c>
      <c r="BW6" s="6">
        <f t="shared" si="81"/>
        <v>61</v>
      </c>
      <c r="BX6" s="6"/>
    </row>
    <row r="7" spans="1:76" ht="15" thickBot="1" x14ac:dyDescent="0.35">
      <c r="A7" s="12"/>
      <c r="B7" s="12"/>
      <c r="C7" s="660"/>
      <c r="F7" s="661"/>
      <c r="H7" s="660"/>
      <c r="I7" s="660"/>
      <c r="J7" s="660"/>
      <c r="K7" s="660"/>
      <c r="L7" s="660"/>
      <c r="N7" s="1"/>
      <c r="O7" s="1005" t="s">
        <v>21</v>
      </c>
      <c r="P7" s="995" t="s">
        <v>23</v>
      </c>
      <c r="Q7" s="995"/>
      <c r="R7" s="996"/>
      <c r="S7" s="994" t="s">
        <v>34</v>
      </c>
      <c r="T7" s="995"/>
      <c r="U7" s="995"/>
      <c r="V7" s="995"/>
      <c r="W7" s="995"/>
      <c r="X7" s="995"/>
      <c r="Y7" s="995"/>
      <c r="Z7" s="995"/>
      <c r="AA7" s="995"/>
      <c r="AB7" s="995"/>
      <c r="AC7" s="996"/>
      <c r="AD7" s="651"/>
      <c r="AE7" s="994" t="s">
        <v>49</v>
      </c>
      <c r="AF7" s="995"/>
      <c r="AG7" s="995"/>
      <c r="AH7" s="995"/>
      <c r="AI7" s="995"/>
      <c r="AJ7" s="995"/>
      <c r="AK7" s="995"/>
      <c r="AL7" s="995"/>
      <c r="AM7" s="995"/>
      <c r="AN7" s="995"/>
      <c r="AO7" s="995"/>
      <c r="AP7" s="995"/>
      <c r="AQ7" s="995"/>
      <c r="AR7" s="996"/>
      <c r="AS7" s="651"/>
      <c r="AT7" s="994" t="s">
        <v>68</v>
      </c>
      <c r="AU7" s="995"/>
      <c r="AV7" s="995"/>
      <c r="AW7" s="995"/>
      <c r="AX7" s="995"/>
      <c r="AY7" s="995"/>
      <c r="AZ7" s="995"/>
      <c r="BA7" s="996"/>
      <c r="BB7" s="651"/>
      <c r="BC7" s="998" t="s">
        <v>77</v>
      </c>
      <c r="BD7" s="999"/>
      <c r="BE7" s="999"/>
      <c r="BF7" s="999"/>
      <c r="BG7" s="999"/>
      <c r="BH7" s="999"/>
      <c r="BI7" s="999"/>
      <c r="BJ7" s="999"/>
      <c r="BK7" s="999"/>
      <c r="BL7" s="1000"/>
      <c r="BM7" s="651"/>
      <c r="BN7" s="994" t="s">
        <v>90</v>
      </c>
      <c r="BO7" s="995"/>
      <c r="BP7" s="995"/>
      <c r="BQ7" s="995"/>
      <c r="BR7" s="995"/>
      <c r="BS7" s="995"/>
      <c r="BT7" s="995"/>
      <c r="BU7" s="995"/>
      <c r="BV7" s="996"/>
      <c r="BW7" s="651"/>
    </row>
    <row r="8" spans="1:76" ht="40.950000000000003" customHeight="1" thickBot="1" x14ac:dyDescent="0.35">
      <c r="B8" s="6"/>
      <c r="I8" s="1002" t="s">
        <v>122</v>
      </c>
      <c r="J8" s="1003"/>
      <c r="K8" s="1003"/>
      <c r="L8" s="1004"/>
      <c r="N8" s="1"/>
      <c r="O8" s="1006"/>
      <c r="P8" s="662" t="s">
        <v>24</v>
      </c>
      <c r="Q8" s="663" t="s">
        <v>26</v>
      </c>
      <c r="R8" s="664" t="s">
        <v>30</v>
      </c>
      <c r="S8" s="665" t="s">
        <v>31</v>
      </c>
      <c r="T8" s="10" t="s">
        <v>35</v>
      </c>
      <c r="U8" s="520" t="s">
        <v>36</v>
      </c>
      <c r="V8" s="520" t="s">
        <v>38</v>
      </c>
      <c r="W8" s="520" t="s">
        <v>40</v>
      </c>
      <c r="X8" s="520" t="s">
        <v>41</v>
      </c>
      <c r="Y8" s="520" t="s">
        <v>42</v>
      </c>
      <c r="Z8" s="520" t="s">
        <v>44</v>
      </c>
      <c r="AA8" s="520" t="s">
        <v>599</v>
      </c>
      <c r="AB8" s="10" t="s">
        <v>47</v>
      </c>
      <c r="AC8" s="666" t="s">
        <v>48</v>
      </c>
      <c r="AE8" s="667" t="s">
        <v>123</v>
      </c>
      <c r="AF8" s="10" t="s">
        <v>51</v>
      </c>
      <c r="AG8" s="10" t="s">
        <v>54</v>
      </c>
      <c r="AH8" s="10" t="s">
        <v>55</v>
      </c>
      <c r="AI8" s="10" t="s">
        <v>56</v>
      </c>
      <c r="AJ8" s="10" t="s">
        <v>57</v>
      </c>
      <c r="AK8" s="520" t="s">
        <v>58</v>
      </c>
      <c r="AL8" s="520" t="s">
        <v>59</v>
      </c>
      <c r="AM8" s="520" t="s">
        <v>61</v>
      </c>
      <c r="AN8" s="668" t="s">
        <v>573</v>
      </c>
      <c r="AO8" s="520" t="s">
        <v>63</v>
      </c>
      <c r="AP8" s="520" t="s">
        <v>64</v>
      </c>
      <c r="AQ8" s="10" t="s">
        <v>64</v>
      </c>
      <c r="AR8" s="669" t="s">
        <v>66</v>
      </c>
      <c r="AT8" s="667" t="s">
        <v>124</v>
      </c>
      <c r="AU8" s="10" t="s">
        <v>125</v>
      </c>
      <c r="AV8" s="10" t="s">
        <v>71</v>
      </c>
      <c r="AW8" s="10" t="s">
        <v>72</v>
      </c>
      <c r="AX8" s="10" t="s">
        <v>73</v>
      </c>
      <c r="AY8" s="520" t="s">
        <v>74</v>
      </c>
      <c r="AZ8" s="520" t="s">
        <v>75</v>
      </c>
      <c r="BA8" s="670" t="s">
        <v>76</v>
      </c>
      <c r="BB8" s="520"/>
      <c r="BC8" s="671" t="s">
        <v>78</v>
      </c>
      <c r="BD8" s="520" t="s">
        <v>79</v>
      </c>
      <c r="BE8" s="10" t="s">
        <v>81</v>
      </c>
      <c r="BF8" s="10" t="s">
        <v>83</v>
      </c>
      <c r="BG8" s="10" t="s">
        <v>84</v>
      </c>
      <c r="BH8" s="10" t="s">
        <v>86</v>
      </c>
      <c r="BI8" s="10" t="s">
        <v>87</v>
      </c>
      <c r="BJ8" s="10" t="s">
        <v>14</v>
      </c>
      <c r="BK8" s="488" t="s">
        <v>598</v>
      </c>
      <c r="BL8" s="666" t="s">
        <v>89</v>
      </c>
      <c r="BN8" s="493" t="s">
        <v>91</v>
      </c>
      <c r="BO8" s="493" t="s">
        <v>92</v>
      </c>
      <c r="BP8" s="10" t="s">
        <v>93</v>
      </c>
      <c r="BQ8" s="10" t="s">
        <v>95</v>
      </c>
      <c r="BR8" s="10" t="s">
        <v>17</v>
      </c>
      <c r="BS8" s="10" t="s">
        <v>96</v>
      </c>
      <c r="BT8" s="672" t="s">
        <v>98</v>
      </c>
      <c r="BU8" s="672" t="s">
        <v>560</v>
      </c>
      <c r="BV8" s="673" t="s">
        <v>480</v>
      </c>
      <c r="BW8" s="10"/>
    </row>
    <row r="9" spans="1:76" x14ac:dyDescent="0.3">
      <c r="B9" s="674" t="s">
        <v>126</v>
      </c>
      <c r="C9" s="675" t="s">
        <v>16</v>
      </c>
      <c r="D9" s="676" t="s">
        <v>0</v>
      </c>
      <c r="E9" s="676" t="s">
        <v>1</v>
      </c>
      <c r="F9" s="677" t="s">
        <v>2</v>
      </c>
      <c r="G9" s="674" t="s">
        <v>597</v>
      </c>
      <c r="H9" s="674" t="s">
        <v>127</v>
      </c>
      <c r="I9" s="674" t="s">
        <v>128</v>
      </c>
      <c r="J9" s="674" t="s">
        <v>129</v>
      </c>
      <c r="K9" s="674" t="s">
        <v>130</v>
      </c>
      <c r="L9" s="678" t="s">
        <v>131</v>
      </c>
      <c r="M9" s="679" t="s">
        <v>18</v>
      </c>
      <c r="N9" s="679" t="s">
        <v>464</v>
      </c>
      <c r="O9" s="680" t="s">
        <v>22</v>
      </c>
      <c r="P9" s="681" t="s">
        <v>25</v>
      </c>
      <c r="Q9" s="682" t="s">
        <v>9</v>
      </c>
      <c r="R9" s="682" t="s">
        <v>9</v>
      </c>
      <c r="S9" s="681" t="s">
        <v>32</v>
      </c>
      <c r="T9" s="682" t="s">
        <v>25</v>
      </c>
      <c r="U9" s="682" t="s">
        <v>37</v>
      </c>
      <c r="V9" s="682" t="s">
        <v>39</v>
      </c>
      <c r="W9" s="682" t="s">
        <v>9</v>
      </c>
      <c r="X9" s="682" t="s">
        <v>9</v>
      </c>
      <c r="Y9" s="682" t="s">
        <v>9</v>
      </c>
      <c r="Z9" s="682" t="s">
        <v>9</v>
      </c>
      <c r="AA9" s="682" t="s">
        <v>22</v>
      </c>
      <c r="AB9" s="682" t="s">
        <v>43</v>
      </c>
      <c r="AC9" s="683" t="s">
        <v>9</v>
      </c>
      <c r="AE9" s="681" t="s">
        <v>50</v>
      </c>
      <c r="AF9" s="682" t="s">
        <v>52</v>
      </c>
      <c r="AG9" s="682" t="s">
        <v>50</v>
      </c>
      <c r="AH9" s="682" t="s">
        <v>7</v>
      </c>
      <c r="AI9" s="682" t="s">
        <v>7</v>
      </c>
      <c r="AJ9" s="682" t="s">
        <v>7</v>
      </c>
      <c r="AK9" s="682" t="s">
        <v>7</v>
      </c>
      <c r="AL9" s="682" t="s">
        <v>7</v>
      </c>
      <c r="AM9" s="682" t="s">
        <v>7</v>
      </c>
      <c r="AN9" s="682" t="s">
        <v>7</v>
      </c>
      <c r="AO9" s="682" t="s">
        <v>7</v>
      </c>
      <c r="AP9" s="682" t="s">
        <v>65</v>
      </c>
      <c r="AQ9" s="682" t="s">
        <v>7</v>
      </c>
      <c r="AR9" s="683" t="s">
        <v>7</v>
      </c>
      <c r="AS9" s="1"/>
      <c r="AT9" s="681" t="s">
        <v>69</v>
      </c>
      <c r="AU9" s="682" t="s">
        <v>70</v>
      </c>
      <c r="AV9" s="682" t="s">
        <v>7</v>
      </c>
      <c r="AW9" s="682" t="s">
        <v>7</v>
      </c>
      <c r="AX9" s="682" t="s">
        <v>7</v>
      </c>
      <c r="AY9" s="682" t="s">
        <v>9</v>
      </c>
      <c r="AZ9" s="682" t="s">
        <v>6</v>
      </c>
      <c r="BA9" s="683" t="s">
        <v>6</v>
      </c>
      <c r="BB9" s="682"/>
      <c r="BC9" s="681" t="s">
        <v>9</v>
      </c>
      <c r="BD9" s="682" t="s">
        <v>9</v>
      </c>
      <c r="BE9" s="682" t="s">
        <v>7</v>
      </c>
      <c r="BF9" s="682" t="s">
        <v>7</v>
      </c>
      <c r="BG9" s="682" t="s">
        <v>132</v>
      </c>
      <c r="BH9" s="682" t="s">
        <v>9</v>
      </c>
      <c r="BI9" s="682" t="s">
        <v>22</v>
      </c>
      <c r="BJ9" s="682" t="s">
        <v>9</v>
      </c>
      <c r="BK9" s="682" t="s">
        <v>9</v>
      </c>
      <c r="BL9" s="683" t="s">
        <v>9</v>
      </c>
      <c r="BM9" s="682"/>
      <c r="BN9" s="681" t="s">
        <v>22</v>
      </c>
      <c r="BO9" s="681" t="s">
        <v>22</v>
      </c>
      <c r="BP9" s="684" t="s">
        <v>94</v>
      </c>
      <c r="BQ9" s="682" t="s">
        <v>9</v>
      </c>
      <c r="BR9" s="682" t="s">
        <v>9</v>
      </c>
      <c r="BS9" s="682" t="s">
        <v>97</v>
      </c>
      <c r="BT9" s="683" t="s">
        <v>22</v>
      </c>
      <c r="BU9" s="683" t="s">
        <v>9</v>
      </c>
      <c r="BV9" s="683" t="s">
        <v>50</v>
      </c>
      <c r="BW9" s="682"/>
    </row>
    <row r="10" spans="1:76" s="657" customFormat="1" x14ac:dyDescent="0.3">
      <c r="A10" s="685">
        <v>1</v>
      </c>
      <c r="B10" s="657">
        <v>1</v>
      </c>
      <c r="C10" s="686" t="s">
        <v>141</v>
      </c>
      <c r="D10" s="650" t="s">
        <v>609</v>
      </c>
      <c r="E10" s="687"/>
      <c r="F10" s="688"/>
      <c r="G10" s="657" t="s">
        <v>138</v>
      </c>
      <c r="H10" s="657" t="s">
        <v>150</v>
      </c>
      <c r="I10" s="1" t="s">
        <v>460</v>
      </c>
      <c r="J10" s="657" t="s">
        <v>135</v>
      </c>
      <c r="K10" s="657" t="s">
        <v>134</v>
      </c>
      <c r="L10" s="657" t="s">
        <v>459</v>
      </c>
      <c r="M10" s="657" t="s">
        <v>121</v>
      </c>
      <c r="N10" s="657">
        <v>0</v>
      </c>
      <c r="O10" s="689">
        <v>20</v>
      </c>
      <c r="P10" s="690" t="s">
        <v>110</v>
      </c>
      <c r="Q10" s="691" t="s">
        <v>110</v>
      </c>
      <c r="R10" s="692" t="s">
        <v>110</v>
      </c>
      <c r="S10" s="693">
        <v>1</v>
      </c>
      <c r="T10" s="768">
        <f>5/1000</f>
        <v>5.0000000000000001E-3</v>
      </c>
      <c r="U10" s="762">
        <v>2</v>
      </c>
      <c r="V10" s="694">
        <f t="shared" ref="V10:V21" si="82">T10*U10</f>
        <v>0.01</v>
      </c>
      <c r="W10" s="763">
        <v>0.85</v>
      </c>
      <c r="X10" s="763">
        <v>0.2</v>
      </c>
      <c r="Y10" s="763">
        <v>1</v>
      </c>
      <c r="Z10" s="763">
        <v>0.95</v>
      </c>
      <c r="AA10" s="764">
        <v>20</v>
      </c>
      <c r="AB10" s="765">
        <v>365</v>
      </c>
      <c r="AC10" s="766">
        <v>0</v>
      </c>
      <c r="AE10" s="695" t="s">
        <v>110</v>
      </c>
      <c r="AF10" s="696" t="s">
        <v>110</v>
      </c>
      <c r="AG10" s="696" t="s">
        <v>110</v>
      </c>
      <c r="AH10" s="697" t="s">
        <v>110</v>
      </c>
      <c r="AI10" s="697" t="s">
        <v>110</v>
      </c>
      <c r="AJ10" s="697" t="s">
        <v>110</v>
      </c>
      <c r="AK10" s="697" t="s">
        <v>110</v>
      </c>
      <c r="AL10" s="697" t="s">
        <v>110</v>
      </c>
      <c r="AM10" s="697" t="s">
        <v>110</v>
      </c>
      <c r="AN10" s="697">
        <v>14041</v>
      </c>
      <c r="AO10" s="697">
        <v>0</v>
      </c>
      <c r="AP10" s="698">
        <v>0</v>
      </c>
      <c r="AQ10" s="699">
        <f>AN10*AP10</f>
        <v>0</v>
      </c>
      <c r="AR10" s="700">
        <f>SUM(AN10:AO10,AQ10)</f>
        <v>14041</v>
      </c>
      <c r="AS10" s="701"/>
      <c r="AT10" s="702" t="s">
        <v>110</v>
      </c>
      <c r="AU10" s="703" t="s">
        <v>110</v>
      </c>
      <c r="AV10" s="704" t="s">
        <v>110</v>
      </c>
      <c r="AW10" s="704">
        <v>385</v>
      </c>
      <c r="AX10" s="705">
        <f>SUM(AW10)</f>
        <v>385</v>
      </c>
      <c r="AY10" s="706">
        <v>0.02</v>
      </c>
      <c r="AZ10" s="703" t="s">
        <v>110</v>
      </c>
      <c r="BA10" s="707" t="s">
        <v>110</v>
      </c>
      <c r="BB10" s="703"/>
      <c r="BC10" s="708">
        <v>0</v>
      </c>
      <c r="BD10" s="698">
        <f>1-BC10</f>
        <v>1</v>
      </c>
      <c r="BE10" s="699">
        <f>BC10*$AR10</f>
        <v>0</v>
      </c>
      <c r="BF10" s="699">
        <f>BD10*$AR10</f>
        <v>14041</v>
      </c>
      <c r="BG10" s="701">
        <v>1</v>
      </c>
      <c r="BH10" s="706">
        <v>7.0000000000000007E-2</v>
      </c>
      <c r="BI10" s="709">
        <v>10</v>
      </c>
      <c r="BJ10" s="706">
        <v>0.125</v>
      </c>
      <c r="BK10" s="706">
        <f>21%+8.25%</f>
        <v>0.29249999999999998</v>
      </c>
      <c r="BL10" s="710">
        <f t="shared" ref="BL10:BL25" si="83">BD10*BJ10+BC10*BH10*(1-BK10)</f>
        <v>0.125</v>
      </c>
      <c r="BM10" s="701"/>
      <c r="BN10" s="711">
        <v>20</v>
      </c>
      <c r="BO10" s="711">
        <v>7</v>
      </c>
      <c r="BP10" s="701">
        <v>0</v>
      </c>
      <c r="BQ10" s="698">
        <v>0.12</v>
      </c>
      <c r="BR10" s="698">
        <v>0</v>
      </c>
      <c r="BS10" s="698">
        <v>0.3</v>
      </c>
      <c r="BT10" s="712">
        <v>1</v>
      </c>
      <c r="BU10" s="713">
        <v>0.5</v>
      </c>
      <c r="BV10" s="714">
        <v>400</v>
      </c>
      <c r="BW10" s="715"/>
    </row>
    <row r="11" spans="1:76" s="657" customFormat="1" x14ac:dyDescent="0.3">
      <c r="A11" s="685">
        <f>A10+1</f>
        <v>2</v>
      </c>
      <c r="B11" s="657">
        <f t="shared" ref="B11:B26" si="84">+B10+1</f>
        <v>2</v>
      </c>
      <c r="C11" s="686" t="s">
        <v>111</v>
      </c>
      <c r="D11" s="650" t="s">
        <v>610</v>
      </c>
      <c r="E11" s="687"/>
      <c r="F11" s="688"/>
      <c r="G11" s="657" t="s">
        <v>138</v>
      </c>
      <c r="H11" s="657" t="s">
        <v>150</v>
      </c>
      <c r="I11" s="1" t="s">
        <v>460</v>
      </c>
      <c r="J11" s="657" t="s">
        <v>135</v>
      </c>
      <c r="K11" s="657" t="s">
        <v>134</v>
      </c>
      <c r="L11" s="657" t="s">
        <v>459</v>
      </c>
      <c r="M11" s="657" t="s">
        <v>121</v>
      </c>
      <c r="N11" s="657">
        <v>0</v>
      </c>
      <c r="O11" s="689">
        <v>20</v>
      </c>
      <c r="P11" s="690" t="s">
        <v>110</v>
      </c>
      <c r="Q11" s="691" t="s">
        <v>110</v>
      </c>
      <c r="R11" s="692" t="s">
        <v>110</v>
      </c>
      <c r="S11" s="693">
        <v>1</v>
      </c>
      <c r="T11" s="768">
        <f>25/1000</f>
        <v>2.5000000000000001E-2</v>
      </c>
      <c r="U11" s="762">
        <v>2</v>
      </c>
      <c r="V11" s="694">
        <f t="shared" si="82"/>
        <v>0.05</v>
      </c>
      <c r="W11" s="763">
        <v>0.85</v>
      </c>
      <c r="X11" s="763">
        <v>0.2</v>
      </c>
      <c r="Y11" s="763">
        <v>1</v>
      </c>
      <c r="Z11" s="763">
        <v>0.95</v>
      </c>
      <c r="AA11" s="764">
        <v>20</v>
      </c>
      <c r="AB11" s="765">
        <v>365</v>
      </c>
      <c r="AC11" s="766">
        <v>0</v>
      </c>
      <c r="AE11" s="695" t="s">
        <v>110</v>
      </c>
      <c r="AF11" s="696" t="s">
        <v>110</v>
      </c>
      <c r="AG11" s="696" t="s">
        <v>110</v>
      </c>
      <c r="AH11" s="697" t="s">
        <v>110</v>
      </c>
      <c r="AI11" s="697" t="s">
        <v>110</v>
      </c>
      <c r="AJ11" s="697" t="s">
        <v>110</v>
      </c>
      <c r="AK11" s="697" t="s">
        <v>110</v>
      </c>
      <c r="AL11" s="697" t="s">
        <v>110</v>
      </c>
      <c r="AM11" s="697" t="s">
        <v>110</v>
      </c>
      <c r="AN11" s="697">
        <v>41541.000000000007</v>
      </c>
      <c r="AO11" s="697">
        <v>0</v>
      </c>
      <c r="AP11" s="698">
        <v>0</v>
      </c>
      <c r="AQ11" s="699">
        <f t="shared" ref="AQ11:AQ26" si="85">AN11*AP11</f>
        <v>0</v>
      </c>
      <c r="AR11" s="700">
        <f t="shared" ref="AR11:AR25" si="86">SUM(AN11:AO11,AQ11)</f>
        <v>41541.000000000007</v>
      </c>
      <c r="AS11" s="701"/>
      <c r="AT11" s="702" t="s">
        <v>110</v>
      </c>
      <c r="AU11" s="703" t="s">
        <v>110</v>
      </c>
      <c r="AV11" s="704" t="s">
        <v>110</v>
      </c>
      <c r="AW11" s="704">
        <v>1925</v>
      </c>
      <c r="AX11" s="705">
        <f>SUM(AW11)</f>
        <v>1925</v>
      </c>
      <c r="AY11" s="706">
        <v>0.02</v>
      </c>
      <c r="AZ11" s="703" t="s">
        <v>110</v>
      </c>
      <c r="BA11" s="707" t="s">
        <v>110</v>
      </c>
      <c r="BB11" s="703"/>
      <c r="BC11" s="708">
        <v>0.25</v>
      </c>
      <c r="BD11" s="698">
        <f t="shared" ref="BD11:BD25" si="87">1-BC11</f>
        <v>0.75</v>
      </c>
      <c r="BE11" s="699">
        <f t="shared" ref="BE11:BF25" si="88">BC11*$AR11</f>
        <v>10385.250000000002</v>
      </c>
      <c r="BF11" s="699">
        <f t="shared" si="88"/>
        <v>31155.750000000007</v>
      </c>
      <c r="BG11" s="701">
        <v>1</v>
      </c>
      <c r="BH11" s="706">
        <v>7.0000000000000007E-2</v>
      </c>
      <c r="BI11" s="709">
        <v>10</v>
      </c>
      <c r="BJ11" s="706">
        <v>0.125</v>
      </c>
      <c r="BK11" s="706">
        <f t="shared" ref="BK11:BK25" si="89">21%+8.25%</f>
        <v>0.29249999999999998</v>
      </c>
      <c r="BL11" s="710">
        <f t="shared" si="83"/>
        <v>0.10613125</v>
      </c>
      <c r="BM11" s="701"/>
      <c r="BN11" s="711">
        <v>20</v>
      </c>
      <c r="BO11" s="711">
        <v>7</v>
      </c>
      <c r="BP11" s="701">
        <v>0</v>
      </c>
      <c r="BQ11" s="698">
        <v>0.12</v>
      </c>
      <c r="BR11" s="698">
        <v>0</v>
      </c>
      <c r="BS11" s="698">
        <v>0.3</v>
      </c>
      <c r="BT11" s="712">
        <v>1</v>
      </c>
      <c r="BU11" s="713">
        <v>0.5</v>
      </c>
      <c r="BV11" s="714">
        <v>400</v>
      </c>
      <c r="BW11" s="715"/>
    </row>
    <row r="12" spans="1:76" s="657" customFormat="1" x14ac:dyDescent="0.3">
      <c r="A12" s="685">
        <f t="shared" ref="A12:A26" si="90">A11+1</f>
        <v>3</v>
      </c>
      <c r="B12" s="657">
        <f t="shared" si="84"/>
        <v>3</v>
      </c>
      <c r="C12" s="686" t="s">
        <v>3</v>
      </c>
      <c r="D12" s="650" t="s">
        <v>469</v>
      </c>
      <c r="F12" s="688"/>
      <c r="G12" s="657" t="s">
        <v>146</v>
      </c>
      <c r="H12" s="657" t="s">
        <v>151</v>
      </c>
      <c r="I12" s="657" t="s">
        <v>133</v>
      </c>
      <c r="J12" s="657" t="s">
        <v>135</v>
      </c>
      <c r="K12" s="657" t="s">
        <v>134</v>
      </c>
      <c r="L12" s="657" t="s">
        <v>459</v>
      </c>
      <c r="M12" s="657" t="s">
        <v>121</v>
      </c>
      <c r="N12" s="657">
        <v>0</v>
      </c>
      <c r="O12" s="689">
        <v>20</v>
      </c>
      <c r="P12" s="690" t="s">
        <v>110</v>
      </c>
      <c r="Q12" s="692" t="s">
        <v>110</v>
      </c>
      <c r="R12" s="692" t="s">
        <v>110</v>
      </c>
      <c r="S12" s="693">
        <v>0</v>
      </c>
      <c r="T12" s="768">
        <f>500/1000</f>
        <v>0.5</v>
      </c>
      <c r="U12" s="762">
        <v>2</v>
      </c>
      <c r="V12" s="716">
        <f t="shared" si="82"/>
        <v>1</v>
      </c>
      <c r="W12" s="763">
        <v>0.85</v>
      </c>
      <c r="X12" s="763">
        <v>0.1</v>
      </c>
      <c r="Y12" s="763">
        <v>1</v>
      </c>
      <c r="Z12" s="763">
        <v>0.95</v>
      </c>
      <c r="AA12" s="764">
        <v>20</v>
      </c>
      <c r="AB12" s="765">
        <v>365</v>
      </c>
      <c r="AC12" s="766">
        <v>0</v>
      </c>
      <c r="AE12" s="695" t="s">
        <v>110</v>
      </c>
      <c r="AF12" s="696" t="s">
        <v>110</v>
      </c>
      <c r="AG12" s="696" t="s">
        <v>110</v>
      </c>
      <c r="AH12" s="697" t="s">
        <v>110</v>
      </c>
      <c r="AI12" s="697" t="s">
        <v>110</v>
      </c>
      <c r="AJ12" s="697" t="s">
        <v>110</v>
      </c>
      <c r="AK12" s="697" t="s">
        <v>110</v>
      </c>
      <c r="AL12" s="697" t="s">
        <v>110</v>
      </c>
      <c r="AM12" s="697" t="s">
        <v>110</v>
      </c>
      <c r="AN12" s="697">
        <v>610470.79995016591</v>
      </c>
      <c r="AO12" s="697">
        <v>0</v>
      </c>
      <c r="AP12" s="698">
        <v>0</v>
      </c>
      <c r="AQ12" s="699">
        <f t="shared" si="85"/>
        <v>0</v>
      </c>
      <c r="AR12" s="700">
        <f t="shared" si="86"/>
        <v>610470.79995016591</v>
      </c>
      <c r="AS12" s="701"/>
      <c r="AT12" s="702" t="s">
        <v>110</v>
      </c>
      <c r="AU12" s="703" t="s">
        <v>110</v>
      </c>
      <c r="AV12" s="704" t="s">
        <v>110</v>
      </c>
      <c r="AW12" s="704">
        <v>16500</v>
      </c>
      <c r="AX12" s="705">
        <f t="shared" ref="AX12:AX25" si="91">SUM(AW12)</f>
        <v>16500</v>
      </c>
      <c r="AY12" s="706">
        <v>0.02</v>
      </c>
      <c r="AZ12" s="703" t="s">
        <v>110</v>
      </c>
      <c r="BA12" s="707" t="s">
        <v>110</v>
      </c>
      <c r="BB12" s="703"/>
      <c r="BC12" s="708">
        <v>0.5</v>
      </c>
      <c r="BD12" s="698">
        <f t="shared" si="87"/>
        <v>0.5</v>
      </c>
      <c r="BE12" s="699">
        <f t="shared" si="88"/>
        <v>305235.39997508295</v>
      </c>
      <c r="BF12" s="699">
        <f t="shared" si="88"/>
        <v>305235.39997508295</v>
      </c>
      <c r="BG12" s="701">
        <v>1</v>
      </c>
      <c r="BH12" s="706">
        <v>7.0000000000000007E-2</v>
      </c>
      <c r="BI12" s="709">
        <v>10</v>
      </c>
      <c r="BJ12" s="706">
        <v>0.125</v>
      </c>
      <c r="BK12" s="706">
        <f t="shared" si="89"/>
        <v>0.29249999999999998</v>
      </c>
      <c r="BL12" s="710">
        <f t="shared" si="83"/>
        <v>8.7262500000000007E-2</v>
      </c>
      <c r="BM12" s="701"/>
      <c r="BN12" s="711">
        <v>20</v>
      </c>
      <c r="BO12" s="711">
        <v>7</v>
      </c>
      <c r="BP12" s="701">
        <v>0</v>
      </c>
      <c r="BQ12" s="698">
        <v>0.12</v>
      </c>
      <c r="BR12" s="698">
        <v>0</v>
      </c>
      <c r="BS12" s="698">
        <v>0.3</v>
      </c>
      <c r="BT12" s="712">
        <v>1</v>
      </c>
      <c r="BU12" s="713">
        <v>0.5</v>
      </c>
      <c r="BV12" s="714">
        <v>0</v>
      </c>
      <c r="BW12" s="715"/>
    </row>
    <row r="13" spans="1:76" s="657" customFormat="1" x14ac:dyDescent="0.3">
      <c r="A13" s="685">
        <f t="shared" si="90"/>
        <v>4</v>
      </c>
      <c r="B13" s="657">
        <f t="shared" si="84"/>
        <v>4</v>
      </c>
      <c r="C13" s="686" t="s">
        <v>142</v>
      </c>
      <c r="D13" s="650" t="s">
        <v>470</v>
      </c>
      <c r="F13" s="688"/>
      <c r="G13" s="657" t="s">
        <v>146</v>
      </c>
      <c r="H13" s="657" t="s">
        <v>151</v>
      </c>
      <c r="I13" s="657" t="s">
        <v>133</v>
      </c>
      <c r="J13" s="657" t="s">
        <v>135</v>
      </c>
      <c r="K13" s="657" t="s">
        <v>134</v>
      </c>
      <c r="L13" s="657" t="s">
        <v>459</v>
      </c>
      <c r="M13" s="657" t="s">
        <v>121</v>
      </c>
      <c r="N13" s="657">
        <v>0</v>
      </c>
      <c r="O13" s="689">
        <v>20</v>
      </c>
      <c r="P13" s="690" t="s">
        <v>110</v>
      </c>
      <c r="Q13" s="692" t="s">
        <v>110</v>
      </c>
      <c r="R13" s="692" t="s">
        <v>110</v>
      </c>
      <c r="S13" s="693">
        <v>0</v>
      </c>
      <c r="T13" s="768">
        <f>500/1000</f>
        <v>0.5</v>
      </c>
      <c r="U13" s="762">
        <v>4</v>
      </c>
      <c r="V13" s="716">
        <f>T13*U13</f>
        <v>2</v>
      </c>
      <c r="W13" s="763">
        <v>0.85</v>
      </c>
      <c r="X13" s="763">
        <v>0.1</v>
      </c>
      <c r="Y13" s="763">
        <v>1</v>
      </c>
      <c r="Z13" s="763">
        <v>0.95</v>
      </c>
      <c r="AA13" s="764">
        <v>20</v>
      </c>
      <c r="AB13" s="765">
        <v>365</v>
      </c>
      <c r="AC13" s="766">
        <v>0</v>
      </c>
      <c r="AE13" s="695" t="s">
        <v>110</v>
      </c>
      <c r="AF13" s="696" t="s">
        <v>110</v>
      </c>
      <c r="AG13" s="696" t="s">
        <v>110</v>
      </c>
      <c r="AH13" s="697" t="s">
        <v>110</v>
      </c>
      <c r="AI13" s="697" t="s">
        <v>110</v>
      </c>
      <c r="AJ13" s="697" t="s">
        <v>110</v>
      </c>
      <c r="AK13" s="697" t="s">
        <v>110</v>
      </c>
      <c r="AL13" s="697" t="s">
        <v>110</v>
      </c>
      <c r="AM13" s="697" t="s">
        <v>110</v>
      </c>
      <c r="AN13" s="697">
        <v>1070941.5999003318</v>
      </c>
      <c r="AO13" s="697">
        <v>0</v>
      </c>
      <c r="AP13" s="698">
        <v>0</v>
      </c>
      <c r="AQ13" s="699">
        <f t="shared" si="85"/>
        <v>0</v>
      </c>
      <c r="AR13" s="700">
        <f t="shared" si="86"/>
        <v>1070941.5999003318</v>
      </c>
      <c r="AS13" s="701"/>
      <c r="AT13" s="702" t="s">
        <v>110</v>
      </c>
      <c r="AU13" s="703" t="s">
        <v>110</v>
      </c>
      <c r="AV13" s="704" t="s">
        <v>110</v>
      </c>
      <c r="AW13" s="704">
        <v>21500</v>
      </c>
      <c r="AX13" s="705">
        <f t="shared" si="91"/>
        <v>21500</v>
      </c>
      <c r="AY13" s="706">
        <v>0.02</v>
      </c>
      <c r="AZ13" s="703" t="s">
        <v>110</v>
      </c>
      <c r="BA13" s="707" t="s">
        <v>110</v>
      </c>
      <c r="BB13" s="703"/>
      <c r="BC13" s="708">
        <v>0.5</v>
      </c>
      <c r="BD13" s="698">
        <f t="shared" si="87"/>
        <v>0.5</v>
      </c>
      <c r="BE13" s="699">
        <f t="shared" si="88"/>
        <v>535470.79995016591</v>
      </c>
      <c r="BF13" s="699">
        <f t="shared" si="88"/>
        <v>535470.79995016591</v>
      </c>
      <c r="BG13" s="701">
        <v>1</v>
      </c>
      <c r="BH13" s="706">
        <v>7.0000000000000007E-2</v>
      </c>
      <c r="BI13" s="709">
        <v>10</v>
      </c>
      <c r="BJ13" s="706">
        <v>0.125</v>
      </c>
      <c r="BK13" s="706">
        <f t="shared" si="89"/>
        <v>0.29249999999999998</v>
      </c>
      <c r="BL13" s="710">
        <f t="shared" si="83"/>
        <v>8.7262500000000007E-2</v>
      </c>
      <c r="BM13" s="701"/>
      <c r="BN13" s="711">
        <v>20</v>
      </c>
      <c r="BO13" s="711">
        <v>7</v>
      </c>
      <c r="BP13" s="701">
        <v>0</v>
      </c>
      <c r="BQ13" s="698">
        <v>0.12</v>
      </c>
      <c r="BR13" s="698">
        <v>0</v>
      </c>
      <c r="BS13" s="698">
        <v>0.3</v>
      </c>
      <c r="BT13" s="712">
        <v>1</v>
      </c>
      <c r="BU13" s="713">
        <v>0.5</v>
      </c>
      <c r="BV13" s="714">
        <v>0</v>
      </c>
      <c r="BW13" s="715"/>
    </row>
    <row r="14" spans="1:76" s="657" customFormat="1" x14ac:dyDescent="0.3">
      <c r="A14" s="685">
        <f t="shared" si="90"/>
        <v>5</v>
      </c>
      <c r="B14" s="657">
        <f t="shared" si="84"/>
        <v>5</v>
      </c>
      <c r="C14" s="686" t="s">
        <v>143</v>
      </c>
      <c r="D14" s="650" t="s">
        <v>471</v>
      </c>
      <c r="F14" s="688"/>
      <c r="G14" s="657" t="s">
        <v>146</v>
      </c>
      <c r="H14" s="657" t="s">
        <v>151</v>
      </c>
      <c r="I14" s="657" t="s">
        <v>133</v>
      </c>
      <c r="J14" s="657" t="s">
        <v>135</v>
      </c>
      <c r="K14" s="657" t="s">
        <v>134</v>
      </c>
      <c r="L14" s="657" t="s">
        <v>459</v>
      </c>
      <c r="M14" s="657" t="s">
        <v>121</v>
      </c>
      <c r="N14" s="657">
        <v>0</v>
      </c>
      <c r="O14" s="689">
        <v>20</v>
      </c>
      <c r="P14" s="690" t="s">
        <v>110</v>
      </c>
      <c r="Q14" s="692" t="s">
        <v>110</v>
      </c>
      <c r="R14" s="692" t="s">
        <v>110</v>
      </c>
      <c r="S14" s="693">
        <v>0</v>
      </c>
      <c r="T14" s="768">
        <v>1</v>
      </c>
      <c r="U14" s="762">
        <v>2</v>
      </c>
      <c r="V14" s="716">
        <f t="shared" si="82"/>
        <v>2</v>
      </c>
      <c r="W14" s="763">
        <v>0.85</v>
      </c>
      <c r="X14" s="763">
        <v>0.1</v>
      </c>
      <c r="Y14" s="763">
        <v>1</v>
      </c>
      <c r="Z14" s="763">
        <v>0.95</v>
      </c>
      <c r="AA14" s="764">
        <v>20</v>
      </c>
      <c r="AB14" s="765">
        <v>365</v>
      </c>
      <c r="AC14" s="766">
        <v>0</v>
      </c>
      <c r="AE14" s="695" t="s">
        <v>110</v>
      </c>
      <c r="AF14" s="696" t="s">
        <v>110</v>
      </c>
      <c r="AG14" s="696" t="s">
        <v>110</v>
      </c>
      <c r="AH14" s="697" t="s">
        <v>110</v>
      </c>
      <c r="AI14" s="697" t="s">
        <v>110</v>
      </c>
      <c r="AJ14" s="697" t="s">
        <v>110</v>
      </c>
      <c r="AK14" s="697" t="s">
        <v>110</v>
      </c>
      <c r="AL14" s="697" t="s">
        <v>110</v>
      </c>
      <c r="AM14" s="697" t="s">
        <v>110</v>
      </c>
      <c r="AN14" s="697">
        <v>1220941.5999003318</v>
      </c>
      <c r="AO14" s="697">
        <v>0</v>
      </c>
      <c r="AP14" s="698">
        <v>0</v>
      </c>
      <c r="AQ14" s="699">
        <f t="shared" si="85"/>
        <v>0</v>
      </c>
      <c r="AR14" s="700">
        <f t="shared" si="86"/>
        <v>1220941.5999003318</v>
      </c>
      <c r="AS14" s="701"/>
      <c r="AT14" s="702" t="s">
        <v>110</v>
      </c>
      <c r="AU14" s="703" t="s">
        <v>110</v>
      </c>
      <c r="AV14" s="704" t="s">
        <v>110</v>
      </c>
      <c r="AW14" s="704">
        <v>33000</v>
      </c>
      <c r="AX14" s="705">
        <f t="shared" si="91"/>
        <v>33000</v>
      </c>
      <c r="AY14" s="706">
        <v>0.02</v>
      </c>
      <c r="AZ14" s="703" t="s">
        <v>110</v>
      </c>
      <c r="BA14" s="707" t="s">
        <v>110</v>
      </c>
      <c r="BB14" s="703"/>
      <c r="BC14" s="708">
        <v>0.6</v>
      </c>
      <c r="BD14" s="698">
        <f t="shared" si="87"/>
        <v>0.4</v>
      </c>
      <c r="BE14" s="699">
        <f t="shared" si="88"/>
        <v>732564.95994019904</v>
      </c>
      <c r="BF14" s="699">
        <f t="shared" si="88"/>
        <v>488376.63996013277</v>
      </c>
      <c r="BG14" s="701">
        <v>1</v>
      </c>
      <c r="BH14" s="706">
        <v>7.0000000000000007E-2</v>
      </c>
      <c r="BI14" s="709">
        <v>10</v>
      </c>
      <c r="BJ14" s="706">
        <v>0.125</v>
      </c>
      <c r="BK14" s="706">
        <f t="shared" si="89"/>
        <v>0.29249999999999998</v>
      </c>
      <c r="BL14" s="710">
        <f t="shared" si="83"/>
        <v>7.9715000000000008E-2</v>
      </c>
      <c r="BM14" s="701"/>
      <c r="BN14" s="711">
        <v>20</v>
      </c>
      <c r="BO14" s="711">
        <v>7</v>
      </c>
      <c r="BP14" s="701">
        <v>0</v>
      </c>
      <c r="BQ14" s="698">
        <v>0.12</v>
      </c>
      <c r="BR14" s="698">
        <v>0</v>
      </c>
      <c r="BS14" s="698">
        <v>0.3</v>
      </c>
      <c r="BT14" s="712">
        <v>1</v>
      </c>
      <c r="BU14" s="713">
        <v>0.5</v>
      </c>
      <c r="BV14" s="714">
        <v>0</v>
      </c>
      <c r="BW14" s="715"/>
    </row>
    <row r="15" spans="1:76" s="657" customFormat="1" x14ac:dyDescent="0.3">
      <c r="A15" s="685">
        <f t="shared" si="90"/>
        <v>6</v>
      </c>
      <c r="B15" s="657">
        <f t="shared" si="84"/>
        <v>6</v>
      </c>
      <c r="C15" s="686" t="s">
        <v>144</v>
      </c>
      <c r="D15" s="650" t="s">
        <v>472</v>
      </c>
      <c r="F15" s="688"/>
      <c r="G15" s="657" t="s">
        <v>146</v>
      </c>
      <c r="H15" s="657" t="s">
        <v>151</v>
      </c>
      <c r="I15" s="657" t="s">
        <v>133</v>
      </c>
      <c r="J15" s="657" t="s">
        <v>135</v>
      </c>
      <c r="K15" s="657" t="s">
        <v>134</v>
      </c>
      <c r="L15" s="657" t="s">
        <v>459</v>
      </c>
      <c r="M15" s="657" t="s">
        <v>121</v>
      </c>
      <c r="N15" s="657">
        <v>0</v>
      </c>
      <c r="O15" s="689">
        <v>20</v>
      </c>
      <c r="P15" s="690" t="s">
        <v>110</v>
      </c>
      <c r="Q15" s="692" t="s">
        <v>110</v>
      </c>
      <c r="R15" s="692" t="s">
        <v>110</v>
      </c>
      <c r="S15" s="717">
        <v>0</v>
      </c>
      <c r="T15" s="768">
        <v>1</v>
      </c>
      <c r="U15" s="762">
        <v>4</v>
      </c>
      <c r="V15" s="716">
        <f t="shared" si="82"/>
        <v>4</v>
      </c>
      <c r="W15" s="763">
        <v>0.85</v>
      </c>
      <c r="X15" s="763">
        <v>0.1</v>
      </c>
      <c r="Y15" s="763">
        <v>1</v>
      </c>
      <c r="Z15" s="763">
        <v>0.95</v>
      </c>
      <c r="AA15" s="764">
        <v>20</v>
      </c>
      <c r="AB15" s="765">
        <v>365</v>
      </c>
      <c r="AC15" s="766">
        <v>0</v>
      </c>
      <c r="AE15" s="695" t="s">
        <v>110</v>
      </c>
      <c r="AF15" s="696" t="s">
        <v>110</v>
      </c>
      <c r="AG15" s="696" t="s">
        <v>110</v>
      </c>
      <c r="AH15" s="697" t="s">
        <v>110</v>
      </c>
      <c r="AI15" s="697" t="s">
        <v>110</v>
      </c>
      <c r="AJ15" s="697" t="s">
        <v>110</v>
      </c>
      <c r="AK15" s="697" t="s">
        <v>110</v>
      </c>
      <c r="AL15" s="697" t="s">
        <v>110</v>
      </c>
      <c r="AM15" s="697" t="s">
        <v>110</v>
      </c>
      <c r="AN15" s="697">
        <v>2141883.1998006636</v>
      </c>
      <c r="AO15" s="697">
        <v>0</v>
      </c>
      <c r="AP15" s="698">
        <v>0</v>
      </c>
      <c r="AQ15" s="699">
        <f t="shared" si="85"/>
        <v>0</v>
      </c>
      <c r="AR15" s="700">
        <f t="shared" si="86"/>
        <v>2141883.1998006636</v>
      </c>
      <c r="AS15" s="701"/>
      <c r="AT15" s="702" t="s">
        <v>110</v>
      </c>
      <c r="AU15" s="703" t="s">
        <v>110</v>
      </c>
      <c r="AV15" s="704" t="s">
        <v>110</v>
      </c>
      <c r="AW15" s="704">
        <v>43000</v>
      </c>
      <c r="AX15" s="705">
        <f t="shared" si="91"/>
        <v>43000</v>
      </c>
      <c r="AY15" s="706">
        <v>0.02</v>
      </c>
      <c r="AZ15" s="703" t="s">
        <v>110</v>
      </c>
      <c r="BA15" s="707" t="s">
        <v>110</v>
      </c>
      <c r="BB15" s="703"/>
      <c r="BC15" s="708">
        <v>0.6</v>
      </c>
      <c r="BD15" s="698">
        <f t="shared" si="87"/>
        <v>0.4</v>
      </c>
      <c r="BE15" s="699">
        <f t="shared" si="88"/>
        <v>1285129.9198803981</v>
      </c>
      <c r="BF15" s="699">
        <f t="shared" si="88"/>
        <v>856753.27992026554</v>
      </c>
      <c r="BG15" s="701">
        <v>1</v>
      </c>
      <c r="BH15" s="706">
        <v>7.0000000000000007E-2</v>
      </c>
      <c r="BI15" s="709">
        <v>10</v>
      </c>
      <c r="BJ15" s="706">
        <v>0.125</v>
      </c>
      <c r="BK15" s="706">
        <f t="shared" si="89"/>
        <v>0.29249999999999998</v>
      </c>
      <c r="BL15" s="710">
        <f t="shared" si="83"/>
        <v>7.9715000000000008E-2</v>
      </c>
      <c r="BM15" s="701"/>
      <c r="BN15" s="711">
        <v>20</v>
      </c>
      <c r="BO15" s="711">
        <v>7</v>
      </c>
      <c r="BP15" s="701">
        <v>0</v>
      </c>
      <c r="BQ15" s="698">
        <v>0.12</v>
      </c>
      <c r="BR15" s="698">
        <v>0</v>
      </c>
      <c r="BS15" s="698">
        <v>0.3</v>
      </c>
      <c r="BT15" s="712">
        <v>1</v>
      </c>
      <c r="BU15" s="713">
        <v>0.5</v>
      </c>
      <c r="BV15" s="714">
        <v>0</v>
      </c>
      <c r="BW15" s="715"/>
    </row>
    <row r="16" spans="1:76" s="657" customFormat="1" x14ac:dyDescent="0.3">
      <c r="A16" s="685">
        <f t="shared" si="90"/>
        <v>7</v>
      </c>
      <c r="B16" s="657">
        <f t="shared" si="84"/>
        <v>7</v>
      </c>
      <c r="C16" s="686" t="s">
        <v>112</v>
      </c>
      <c r="D16" s="650" t="s">
        <v>473</v>
      </c>
      <c r="F16" s="688"/>
      <c r="G16" s="657" t="s">
        <v>146</v>
      </c>
      <c r="H16" s="657" t="s">
        <v>151</v>
      </c>
      <c r="I16" s="657" t="s">
        <v>133</v>
      </c>
      <c r="J16" s="657" t="s">
        <v>135</v>
      </c>
      <c r="K16" s="657" t="s">
        <v>134</v>
      </c>
      <c r="L16" s="657" t="s">
        <v>459</v>
      </c>
      <c r="M16" s="657" t="s">
        <v>121</v>
      </c>
      <c r="N16" s="657">
        <v>0</v>
      </c>
      <c r="O16" s="689">
        <v>20</v>
      </c>
      <c r="P16" s="690" t="s">
        <v>110</v>
      </c>
      <c r="Q16" s="692" t="s">
        <v>110</v>
      </c>
      <c r="R16" s="692" t="s">
        <v>110</v>
      </c>
      <c r="S16" s="717">
        <v>0</v>
      </c>
      <c r="T16" s="768">
        <v>2</v>
      </c>
      <c r="U16" s="762">
        <v>2</v>
      </c>
      <c r="V16" s="716">
        <f t="shared" si="82"/>
        <v>4</v>
      </c>
      <c r="W16" s="763">
        <v>0.85</v>
      </c>
      <c r="X16" s="763">
        <v>0.1</v>
      </c>
      <c r="Y16" s="763">
        <v>1</v>
      </c>
      <c r="Z16" s="763">
        <v>0.95</v>
      </c>
      <c r="AA16" s="764">
        <v>20</v>
      </c>
      <c r="AB16" s="765">
        <v>365</v>
      </c>
      <c r="AC16" s="766">
        <v>0</v>
      </c>
      <c r="AE16" s="695" t="s">
        <v>110</v>
      </c>
      <c r="AF16" s="696" t="s">
        <v>110</v>
      </c>
      <c r="AG16" s="696" t="s">
        <v>110</v>
      </c>
      <c r="AH16" s="697" t="s">
        <v>110</v>
      </c>
      <c r="AI16" s="697" t="s">
        <v>110</v>
      </c>
      <c r="AJ16" s="697" t="s">
        <v>110</v>
      </c>
      <c r="AK16" s="697" t="s">
        <v>110</v>
      </c>
      <c r="AL16" s="697" t="s">
        <v>110</v>
      </c>
      <c r="AM16" s="697" t="s">
        <v>110</v>
      </c>
      <c r="AN16" s="697">
        <v>2441883.1998006636</v>
      </c>
      <c r="AO16" s="697">
        <v>0</v>
      </c>
      <c r="AP16" s="698">
        <v>0</v>
      </c>
      <c r="AQ16" s="699">
        <f t="shared" si="85"/>
        <v>0</v>
      </c>
      <c r="AR16" s="700">
        <f t="shared" si="86"/>
        <v>2441883.1998006636</v>
      </c>
      <c r="AS16" s="701"/>
      <c r="AT16" s="702" t="s">
        <v>110</v>
      </c>
      <c r="AU16" s="703" t="s">
        <v>110</v>
      </c>
      <c r="AV16" s="704" t="s">
        <v>110</v>
      </c>
      <c r="AW16" s="704">
        <v>66000</v>
      </c>
      <c r="AX16" s="705">
        <f t="shared" si="91"/>
        <v>66000</v>
      </c>
      <c r="AY16" s="706">
        <v>0.02</v>
      </c>
      <c r="AZ16" s="703" t="s">
        <v>110</v>
      </c>
      <c r="BA16" s="707" t="s">
        <v>110</v>
      </c>
      <c r="BB16" s="703"/>
      <c r="BC16" s="708">
        <v>0.6</v>
      </c>
      <c r="BD16" s="698">
        <f t="shared" si="87"/>
        <v>0.4</v>
      </c>
      <c r="BE16" s="699">
        <f t="shared" si="88"/>
        <v>1465129.9198803981</v>
      </c>
      <c r="BF16" s="699">
        <f t="shared" si="88"/>
        <v>976753.27992026554</v>
      </c>
      <c r="BG16" s="701">
        <v>1</v>
      </c>
      <c r="BH16" s="706">
        <v>7.0000000000000007E-2</v>
      </c>
      <c r="BI16" s="709">
        <v>10</v>
      </c>
      <c r="BJ16" s="706">
        <v>0.125</v>
      </c>
      <c r="BK16" s="706">
        <f t="shared" si="89"/>
        <v>0.29249999999999998</v>
      </c>
      <c r="BL16" s="710">
        <f t="shared" si="83"/>
        <v>7.9715000000000008E-2</v>
      </c>
      <c r="BM16" s="701"/>
      <c r="BN16" s="711">
        <v>20</v>
      </c>
      <c r="BO16" s="711">
        <v>7</v>
      </c>
      <c r="BP16" s="701">
        <v>0</v>
      </c>
      <c r="BQ16" s="698">
        <v>0.12</v>
      </c>
      <c r="BR16" s="698">
        <v>0</v>
      </c>
      <c r="BS16" s="698">
        <v>0.3</v>
      </c>
      <c r="BT16" s="712">
        <v>1</v>
      </c>
      <c r="BU16" s="713">
        <v>0.5</v>
      </c>
      <c r="BV16" s="714">
        <v>0</v>
      </c>
      <c r="BW16" s="715"/>
    </row>
    <row r="17" spans="1:77" s="657" customFormat="1" x14ac:dyDescent="0.3">
      <c r="A17" s="685">
        <f t="shared" si="90"/>
        <v>8</v>
      </c>
      <c r="B17" s="657">
        <f t="shared" si="84"/>
        <v>8</v>
      </c>
      <c r="C17" s="686" t="s">
        <v>113</v>
      </c>
      <c r="D17" s="650" t="s">
        <v>474</v>
      </c>
      <c r="F17" s="688"/>
      <c r="G17" s="657" t="s">
        <v>146</v>
      </c>
      <c r="H17" s="657" t="s">
        <v>151</v>
      </c>
      <c r="I17" s="657" t="s">
        <v>133</v>
      </c>
      <c r="J17" s="657" t="s">
        <v>135</v>
      </c>
      <c r="K17" s="657" t="s">
        <v>134</v>
      </c>
      <c r="L17" s="657" t="s">
        <v>459</v>
      </c>
      <c r="M17" s="657" t="s">
        <v>121</v>
      </c>
      <c r="N17" s="657">
        <v>0</v>
      </c>
      <c r="O17" s="689">
        <v>20</v>
      </c>
      <c r="P17" s="690" t="s">
        <v>110</v>
      </c>
      <c r="Q17" s="692" t="s">
        <v>110</v>
      </c>
      <c r="R17" s="692" t="s">
        <v>110</v>
      </c>
      <c r="S17" s="717">
        <v>0</v>
      </c>
      <c r="T17" s="768">
        <v>2</v>
      </c>
      <c r="U17" s="762">
        <v>4</v>
      </c>
      <c r="V17" s="716">
        <f t="shared" si="82"/>
        <v>8</v>
      </c>
      <c r="W17" s="763">
        <v>0.85</v>
      </c>
      <c r="X17" s="763">
        <v>0.1</v>
      </c>
      <c r="Y17" s="763">
        <v>1</v>
      </c>
      <c r="Z17" s="763">
        <v>0.95</v>
      </c>
      <c r="AA17" s="764">
        <v>20</v>
      </c>
      <c r="AB17" s="765">
        <v>365</v>
      </c>
      <c r="AC17" s="766">
        <v>0</v>
      </c>
      <c r="AE17" s="695" t="s">
        <v>110</v>
      </c>
      <c r="AF17" s="696" t="s">
        <v>110</v>
      </c>
      <c r="AG17" s="696" t="s">
        <v>110</v>
      </c>
      <c r="AH17" s="697" t="s">
        <v>110</v>
      </c>
      <c r="AI17" s="697" t="s">
        <v>110</v>
      </c>
      <c r="AJ17" s="697" t="s">
        <v>110</v>
      </c>
      <c r="AK17" s="697" t="s">
        <v>110</v>
      </c>
      <c r="AL17" s="697" t="s">
        <v>110</v>
      </c>
      <c r="AM17" s="697" t="s">
        <v>110</v>
      </c>
      <c r="AN17" s="697">
        <v>4283766.3996013273</v>
      </c>
      <c r="AO17" s="697">
        <v>0</v>
      </c>
      <c r="AP17" s="698">
        <v>0</v>
      </c>
      <c r="AQ17" s="699">
        <f t="shared" si="85"/>
        <v>0</v>
      </c>
      <c r="AR17" s="700">
        <f t="shared" si="86"/>
        <v>4283766.3996013273</v>
      </c>
      <c r="AS17" s="701"/>
      <c r="AT17" s="702" t="s">
        <v>110</v>
      </c>
      <c r="AU17" s="703" t="s">
        <v>110</v>
      </c>
      <c r="AV17" s="704" t="s">
        <v>110</v>
      </c>
      <c r="AW17" s="704">
        <v>86000</v>
      </c>
      <c r="AX17" s="705">
        <f t="shared" si="91"/>
        <v>86000</v>
      </c>
      <c r="AY17" s="706">
        <v>0.02</v>
      </c>
      <c r="AZ17" s="703" t="s">
        <v>110</v>
      </c>
      <c r="BA17" s="707" t="s">
        <v>110</v>
      </c>
      <c r="BB17" s="703"/>
      <c r="BC17" s="708">
        <v>0.6</v>
      </c>
      <c r="BD17" s="698">
        <f t="shared" si="87"/>
        <v>0.4</v>
      </c>
      <c r="BE17" s="699">
        <f t="shared" si="88"/>
        <v>2570259.8397607962</v>
      </c>
      <c r="BF17" s="699">
        <f t="shared" si="88"/>
        <v>1713506.5598405311</v>
      </c>
      <c r="BG17" s="701">
        <v>1</v>
      </c>
      <c r="BH17" s="706">
        <v>7.0000000000000007E-2</v>
      </c>
      <c r="BI17" s="709">
        <v>10</v>
      </c>
      <c r="BJ17" s="706">
        <v>0.125</v>
      </c>
      <c r="BK17" s="706">
        <f t="shared" si="89"/>
        <v>0.29249999999999998</v>
      </c>
      <c r="BL17" s="710">
        <f t="shared" si="83"/>
        <v>7.9715000000000008E-2</v>
      </c>
      <c r="BM17" s="701"/>
      <c r="BN17" s="711">
        <v>20</v>
      </c>
      <c r="BO17" s="711">
        <v>7</v>
      </c>
      <c r="BP17" s="701">
        <v>0</v>
      </c>
      <c r="BQ17" s="698">
        <v>0.12</v>
      </c>
      <c r="BR17" s="698">
        <v>0</v>
      </c>
      <c r="BS17" s="698">
        <v>0.3</v>
      </c>
      <c r="BT17" s="712">
        <v>1</v>
      </c>
      <c r="BU17" s="713">
        <v>0.5</v>
      </c>
      <c r="BV17" s="714">
        <v>0</v>
      </c>
      <c r="BW17" s="715"/>
    </row>
    <row r="18" spans="1:77" s="657" customFormat="1" x14ac:dyDescent="0.3">
      <c r="A18" s="685">
        <f t="shared" si="90"/>
        <v>9</v>
      </c>
      <c r="B18" s="657">
        <f t="shared" si="84"/>
        <v>9</v>
      </c>
      <c r="C18" s="686" t="s">
        <v>4</v>
      </c>
      <c r="D18" s="650" t="s">
        <v>475</v>
      </c>
      <c r="F18" s="11"/>
      <c r="G18" s="657" t="s">
        <v>145</v>
      </c>
      <c r="H18" s="657" t="s">
        <v>151</v>
      </c>
      <c r="I18" s="657" t="s">
        <v>133</v>
      </c>
      <c r="J18" s="657" t="s">
        <v>145</v>
      </c>
      <c r="K18" s="657" t="s">
        <v>134</v>
      </c>
      <c r="L18" s="657" t="s">
        <v>459</v>
      </c>
      <c r="M18" s="657" t="s">
        <v>121</v>
      </c>
      <c r="N18" s="657">
        <v>1</v>
      </c>
      <c r="O18" s="689">
        <v>20</v>
      </c>
      <c r="P18" s="690" t="s">
        <v>110</v>
      </c>
      <c r="Q18" s="692" t="s">
        <v>110</v>
      </c>
      <c r="R18" s="692" t="s">
        <v>110</v>
      </c>
      <c r="S18" s="717">
        <v>0</v>
      </c>
      <c r="T18" s="768">
        <v>2</v>
      </c>
      <c r="U18" s="762">
        <v>2</v>
      </c>
      <c r="V18" s="716">
        <f t="shared" si="82"/>
        <v>4</v>
      </c>
      <c r="W18" s="763">
        <v>0.85</v>
      </c>
      <c r="X18" s="767">
        <v>0</v>
      </c>
      <c r="Y18" s="763">
        <v>1</v>
      </c>
      <c r="Z18" s="763">
        <v>0.95</v>
      </c>
      <c r="AA18" s="764">
        <v>20</v>
      </c>
      <c r="AB18" s="765">
        <v>365</v>
      </c>
      <c r="AC18" s="766">
        <v>0</v>
      </c>
      <c r="AE18" s="695" t="s">
        <v>110</v>
      </c>
      <c r="AF18" s="696" t="s">
        <v>110</v>
      </c>
      <c r="AG18" s="696" t="s">
        <v>110</v>
      </c>
      <c r="AH18" s="697" t="s">
        <v>110</v>
      </c>
      <c r="AI18" s="697" t="s">
        <v>110</v>
      </c>
      <c r="AJ18" s="697" t="s">
        <v>110</v>
      </c>
      <c r="AK18" s="697" t="s">
        <v>110</v>
      </c>
      <c r="AL18" s="697" t="s">
        <v>110</v>
      </c>
      <c r="AM18" s="697" t="s">
        <v>110</v>
      </c>
      <c r="AN18" s="697">
        <v>2640787.5798561508</v>
      </c>
      <c r="AO18" s="697">
        <v>0</v>
      </c>
      <c r="AP18" s="698">
        <v>0</v>
      </c>
      <c r="AQ18" s="699">
        <f t="shared" si="85"/>
        <v>0</v>
      </c>
      <c r="AR18" s="700">
        <f t="shared" si="86"/>
        <v>2640787.5798561508</v>
      </c>
      <c r="AS18" s="701"/>
      <c r="AT18" s="702" t="s">
        <v>110</v>
      </c>
      <c r="AU18" s="703" t="s">
        <v>110</v>
      </c>
      <c r="AV18" s="704" t="s">
        <v>110</v>
      </c>
      <c r="AW18" s="704">
        <v>44000</v>
      </c>
      <c r="AX18" s="705">
        <f t="shared" si="91"/>
        <v>44000</v>
      </c>
      <c r="AY18" s="706">
        <v>0.02</v>
      </c>
      <c r="AZ18" s="703" t="s">
        <v>110</v>
      </c>
      <c r="BA18" s="707" t="s">
        <v>110</v>
      </c>
      <c r="BB18" s="703"/>
      <c r="BC18" s="708">
        <v>0.4</v>
      </c>
      <c r="BD18" s="698">
        <f t="shared" si="87"/>
        <v>0.6</v>
      </c>
      <c r="BE18" s="699">
        <f t="shared" si="88"/>
        <v>1056315.0319424605</v>
      </c>
      <c r="BF18" s="699">
        <f t="shared" si="88"/>
        <v>1584472.5479136903</v>
      </c>
      <c r="BG18" s="701">
        <v>1</v>
      </c>
      <c r="BH18" s="706">
        <v>7.0000000000000007E-2</v>
      </c>
      <c r="BI18" s="709">
        <v>10</v>
      </c>
      <c r="BJ18" s="706">
        <v>0.17500000000000002</v>
      </c>
      <c r="BK18" s="706">
        <f t="shared" si="89"/>
        <v>0.29249999999999998</v>
      </c>
      <c r="BL18" s="710">
        <f t="shared" si="83"/>
        <v>0.12481000000000002</v>
      </c>
      <c r="BM18" s="701"/>
      <c r="BN18" s="711">
        <v>20</v>
      </c>
      <c r="BO18" s="711">
        <v>7</v>
      </c>
      <c r="BP18" s="701">
        <v>0</v>
      </c>
      <c r="BQ18" s="698">
        <v>0.12</v>
      </c>
      <c r="BR18" s="698">
        <v>0</v>
      </c>
      <c r="BS18" s="698">
        <v>0.3</v>
      </c>
      <c r="BT18" s="712">
        <v>1</v>
      </c>
      <c r="BU18" s="713">
        <v>0.5</v>
      </c>
      <c r="BV18" s="714">
        <v>0</v>
      </c>
      <c r="BW18" s="715"/>
    </row>
    <row r="19" spans="1:77" s="657" customFormat="1" x14ac:dyDescent="0.3">
      <c r="A19" s="685">
        <f t="shared" si="90"/>
        <v>10</v>
      </c>
      <c r="B19" s="657">
        <f t="shared" si="84"/>
        <v>10</v>
      </c>
      <c r="C19" s="686" t="s">
        <v>114</v>
      </c>
      <c r="D19" s="650" t="s">
        <v>476</v>
      </c>
      <c r="F19" s="11"/>
      <c r="G19" s="657" t="s">
        <v>145</v>
      </c>
      <c r="H19" s="657" t="s">
        <v>151</v>
      </c>
      <c r="I19" s="657" t="s">
        <v>133</v>
      </c>
      <c r="J19" s="657" t="s">
        <v>145</v>
      </c>
      <c r="K19" s="657" t="s">
        <v>134</v>
      </c>
      <c r="L19" s="657" t="s">
        <v>459</v>
      </c>
      <c r="M19" s="657" t="s">
        <v>121</v>
      </c>
      <c r="N19" s="657">
        <v>1</v>
      </c>
      <c r="O19" s="689">
        <v>20</v>
      </c>
      <c r="P19" s="690" t="s">
        <v>110</v>
      </c>
      <c r="Q19" s="692" t="s">
        <v>110</v>
      </c>
      <c r="R19" s="692" t="s">
        <v>110</v>
      </c>
      <c r="S19" s="717">
        <v>0</v>
      </c>
      <c r="T19" s="768">
        <v>2</v>
      </c>
      <c r="U19" s="762">
        <v>4</v>
      </c>
      <c r="V19" s="716">
        <f>T19*U19</f>
        <v>8</v>
      </c>
      <c r="W19" s="763">
        <v>0.85</v>
      </c>
      <c r="X19" s="767">
        <v>0</v>
      </c>
      <c r="Y19" s="763">
        <v>1</v>
      </c>
      <c r="Z19" s="763">
        <v>0.95</v>
      </c>
      <c r="AA19" s="764">
        <v>20</v>
      </c>
      <c r="AB19" s="765">
        <v>365</v>
      </c>
      <c r="AC19" s="766">
        <v>0</v>
      </c>
      <c r="AE19" s="695" t="s">
        <v>110</v>
      </c>
      <c r="AF19" s="696" t="s">
        <v>110</v>
      </c>
      <c r="AG19" s="696" t="s">
        <v>110</v>
      </c>
      <c r="AH19" s="697" t="s">
        <v>110</v>
      </c>
      <c r="AI19" s="697" t="s">
        <v>110</v>
      </c>
      <c r="AJ19" s="697" t="s">
        <v>110</v>
      </c>
      <c r="AK19" s="697" t="s">
        <v>110</v>
      </c>
      <c r="AL19" s="697" t="s">
        <v>110</v>
      </c>
      <c r="AM19" s="697" t="s">
        <v>110</v>
      </c>
      <c r="AN19" s="697">
        <v>4218592.7523477627</v>
      </c>
      <c r="AO19" s="697">
        <v>0</v>
      </c>
      <c r="AP19" s="698">
        <v>0</v>
      </c>
      <c r="AQ19" s="699">
        <f t="shared" si="85"/>
        <v>0</v>
      </c>
      <c r="AR19" s="700">
        <f t="shared" si="86"/>
        <v>4218592.7523477627</v>
      </c>
      <c r="AS19" s="701"/>
      <c r="AT19" s="702" t="s">
        <v>110</v>
      </c>
      <c r="AU19" s="703" t="s">
        <v>110</v>
      </c>
      <c r="AV19" s="704" t="s">
        <v>110</v>
      </c>
      <c r="AW19" s="704">
        <v>92000</v>
      </c>
      <c r="AX19" s="705">
        <f t="shared" si="91"/>
        <v>92000</v>
      </c>
      <c r="AY19" s="706">
        <v>0.02</v>
      </c>
      <c r="AZ19" s="703" t="s">
        <v>110</v>
      </c>
      <c r="BA19" s="707" t="s">
        <v>110</v>
      </c>
      <c r="BB19" s="703"/>
      <c r="BC19" s="708">
        <v>0.4</v>
      </c>
      <c r="BD19" s="698">
        <f t="shared" si="87"/>
        <v>0.6</v>
      </c>
      <c r="BE19" s="699">
        <f t="shared" si="88"/>
        <v>1687437.1009391053</v>
      </c>
      <c r="BF19" s="699">
        <f t="shared" si="88"/>
        <v>2531155.6514086574</v>
      </c>
      <c r="BG19" s="701">
        <v>1</v>
      </c>
      <c r="BH19" s="706">
        <v>7.0000000000000007E-2</v>
      </c>
      <c r="BI19" s="709">
        <v>10</v>
      </c>
      <c r="BJ19" s="706">
        <v>0.17500000000000002</v>
      </c>
      <c r="BK19" s="706">
        <f t="shared" si="89"/>
        <v>0.29249999999999998</v>
      </c>
      <c r="BL19" s="710">
        <f t="shared" si="83"/>
        <v>0.12481000000000002</v>
      </c>
      <c r="BM19" s="701"/>
      <c r="BN19" s="711">
        <v>20</v>
      </c>
      <c r="BO19" s="711">
        <v>7</v>
      </c>
      <c r="BP19" s="701">
        <v>0</v>
      </c>
      <c r="BQ19" s="698">
        <v>0.12</v>
      </c>
      <c r="BR19" s="698">
        <v>0</v>
      </c>
      <c r="BS19" s="698">
        <v>0.3</v>
      </c>
      <c r="BT19" s="712">
        <v>1</v>
      </c>
      <c r="BU19" s="713">
        <v>0.5</v>
      </c>
      <c r="BV19" s="714">
        <v>0</v>
      </c>
      <c r="BW19" s="715"/>
    </row>
    <row r="20" spans="1:77" s="657" customFormat="1" x14ac:dyDescent="0.3">
      <c r="A20" s="685">
        <f t="shared" si="90"/>
        <v>11</v>
      </c>
      <c r="B20" s="657">
        <f t="shared" si="84"/>
        <v>11</v>
      </c>
      <c r="C20" s="686" t="s">
        <v>152</v>
      </c>
      <c r="D20" s="650" t="s">
        <v>477</v>
      </c>
      <c r="F20" s="11"/>
      <c r="G20" s="657" t="s">
        <v>145</v>
      </c>
      <c r="H20" s="657" t="s">
        <v>151</v>
      </c>
      <c r="I20" s="657" t="s">
        <v>133</v>
      </c>
      <c r="J20" s="657" t="s">
        <v>145</v>
      </c>
      <c r="K20" s="657" t="s">
        <v>134</v>
      </c>
      <c r="L20" s="657" t="s">
        <v>459</v>
      </c>
      <c r="M20" s="657" t="s">
        <v>121</v>
      </c>
      <c r="N20" s="657">
        <v>1</v>
      </c>
      <c r="O20" s="689">
        <v>20</v>
      </c>
      <c r="P20" s="690" t="s">
        <v>110</v>
      </c>
      <c r="Q20" s="692" t="s">
        <v>110</v>
      </c>
      <c r="R20" s="692" t="s">
        <v>110</v>
      </c>
      <c r="S20" s="717">
        <v>0</v>
      </c>
      <c r="T20" s="768">
        <v>5</v>
      </c>
      <c r="U20" s="762">
        <v>2</v>
      </c>
      <c r="V20" s="716">
        <f t="shared" si="82"/>
        <v>10</v>
      </c>
      <c r="W20" s="763">
        <v>0.85</v>
      </c>
      <c r="X20" s="767">
        <v>0</v>
      </c>
      <c r="Y20" s="763">
        <v>1</v>
      </c>
      <c r="Z20" s="763">
        <v>0.95</v>
      </c>
      <c r="AA20" s="764">
        <v>20</v>
      </c>
      <c r="AB20" s="765">
        <v>365</v>
      </c>
      <c r="AC20" s="766">
        <v>0</v>
      </c>
      <c r="AE20" s="695" t="s">
        <v>110</v>
      </c>
      <c r="AF20" s="696" t="s">
        <v>110</v>
      </c>
      <c r="AG20" s="696" t="s">
        <v>110</v>
      </c>
      <c r="AH20" s="697" t="s">
        <v>110</v>
      </c>
      <c r="AI20" s="697" t="s">
        <v>110</v>
      </c>
      <c r="AJ20" s="697" t="s">
        <v>110</v>
      </c>
      <c r="AK20" s="697" t="s">
        <v>110</v>
      </c>
      <c r="AL20" s="697" t="s">
        <v>110</v>
      </c>
      <c r="AM20" s="697" t="s">
        <v>110</v>
      </c>
      <c r="AN20" s="697">
        <v>6601968.9496403784</v>
      </c>
      <c r="AO20" s="697">
        <v>0</v>
      </c>
      <c r="AP20" s="698">
        <v>0</v>
      </c>
      <c r="AQ20" s="699">
        <f t="shared" si="85"/>
        <v>0</v>
      </c>
      <c r="AR20" s="700">
        <f t="shared" si="86"/>
        <v>6601968.9496403784</v>
      </c>
      <c r="AS20" s="701"/>
      <c r="AT20" s="702" t="s">
        <v>110</v>
      </c>
      <c r="AU20" s="703" t="s">
        <v>110</v>
      </c>
      <c r="AV20" s="704" t="s">
        <v>110</v>
      </c>
      <c r="AW20" s="704">
        <v>110000</v>
      </c>
      <c r="AX20" s="705">
        <f t="shared" si="91"/>
        <v>110000</v>
      </c>
      <c r="AY20" s="706">
        <v>0.02</v>
      </c>
      <c r="AZ20" s="703" t="s">
        <v>110</v>
      </c>
      <c r="BA20" s="707" t="s">
        <v>110</v>
      </c>
      <c r="BB20" s="703"/>
      <c r="BC20" s="708">
        <v>0.45</v>
      </c>
      <c r="BD20" s="698">
        <f t="shared" si="87"/>
        <v>0.55000000000000004</v>
      </c>
      <c r="BE20" s="699">
        <f t="shared" si="88"/>
        <v>2970886.0273381704</v>
      </c>
      <c r="BF20" s="699">
        <f t="shared" si="88"/>
        <v>3631082.9223022084</v>
      </c>
      <c r="BG20" s="701">
        <v>1</v>
      </c>
      <c r="BH20" s="706">
        <v>7.0000000000000007E-2</v>
      </c>
      <c r="BI20" s="709">
        <v>10</v>
      </c>
      <c r="BJ20" s="706">
        <v>0.17500000000000002</v>
      </c>
      <c r="BK20" s="706">
        <f t="shared" si="89"/>
        <v>0.29249999999999998</v>
      </c>
      <c r="BL20" s="710">
        <f t="shared" si="83"/>
        <v>0.11853625000000002</v>
      </c>
      <c r="BM20" s="701"/>
      <c r="BN20" s="711">
        <v>20</v>
      </c>
      <c r="BO20" s="711">
        <v>7</v>
      </c>
      <c r="BP20" s="701">
        <v>0</v>
      </c>
      <c r="BQ20" s="698">
        <v>0.12</v>
      </c>
      <c r="BR20" s="698">
        <v>0</v>
      </c>
      <c r="BS20" s="698">
        <v>0.3</v>
      </c>
      <c r="BT20" s="712">
        <v>1</v>
      </c>
      <c r="BU20" s="713">
        <v>0.5</v>
      </c>
      <c r="BV20" s="714">
        <v>0</v>
      </c>
      <c r="BW20" s="715"/>
    </row>
    <row r="21" spans="1:77" s="657" customFormat="1" x14ac:dyDescent="0.3">
      <c r="A21" s="685">
        <f t="shared" si="90"/>
        <v>12</v>
      </c>
      <c r="B21" s="657">
        <f t="shared" si="84"/>
        <v>12</v>
      </c>
      <c r="C21" s="686" t="s">
        <v>116</v>
      </c>
      <c r="D21" s="650" t="s">
        <v>478</v>
      </c>
      <c r="F21" s="11"/>
      <c r="G21" s="657" t="s">
        <v>145</v>
      </c>
      <c r="H21" s="657" t="s">
        <v>151</v>
      </c>
      <c r="I21" s="657" t="s">
        <v>133</v>
      </c>
      <c r="J21" s="657" t="s">
        <v>145</v>
      </c>
      <c r="K21" s="657" t="s">
        <v>134</v>
      </c>
      <c r="L21" s="657" t="s">
        <v>459</v>
      </c>
      <c r="M21" s="657" t="s">
        <v>121</v>
      </c>
      <c r="N21" s="657">
        <v>1</v>
      </c>
      <c r="O21" s="689">
        <v>20</v>
      </c>
      <c r="P21" s="690" t="s">
        <v>110</v>
      </c>
      <c r="Q21" s="692" t="s">
        <v>110</v>
      </c>
      <c r="R21" s="692" t="s">
        <v>110</v>
      </c>
      <c r="S21" s="717">
        <v>0</v>
      </c>
      <c r="T21" s="768">
        <v>5</v>
      </c>
      <c r="U21" s="762">
        <v>4</v>
      </c>
      <c r="V21" s="716">
        <f t="shared" si="82"/>
        <v>20</v>
      </c>
      <c r="W21" s="763">
        <v>0.85</v>
      </c>
      <c r="X21" s="767">
        <v>0</v>
      </c>
      <c r="Y21" s="763">
        <v>1</v>
      </c>
      <c r="Z21" s="763">
        <v>0.95</v>
      </c>
      <c r="AA21" s="764">
        <v>20</v>
      </c>
      <c r="AB21" s="765">
        <v>365</v>
      </c>
      <c r="AC21" s="766">
        <v>0</v>
      </c>
      <c r="AE21" s="695" t="s">
        <v>110</v>
      </c>
      <c r="AF21" s="696" t="s">
        <v>110</v>
      </c>
      <c r="AG21" s="696" t="s">
        <v>110</v>
      </c>
      <c r="AH21" s="697" t="s">
        <v>110</v>
      </c>
      <c r="AI21" s="697" t="s">
        <v>110</v>
      </c>
      <c r="AJ21" s="697" t="s">
        <v>110</v>
      </c>
      <c r="AK21" s="697" t="s">
        <v>110</v>
      </c>
      <c r="AL21" s="697" t="s">
        <v>110</v>
      </c>
      <c r="AM21" s="697" t="s">
        <v>110</v>
      </c>
      <c r="AN21" s="697">
        <v>10546481.880869407</v>
      </c>
      <c r="AO21" s="697">
        <v>0</v>
      </c>
      <c r="AP21" s="698">
        <v>0</v>
      </c>
      <c r="AQ21" s="699">
        <f>AN21*AP21</f>
        <v>0</v>
      </c>
      <c r="AR21" s="700">
        <f t="shared" si="86"/>
        <v>10546481.880869407</v>
      </c>
      <c r="AS21" s="701"/>
      <c r="AT21" s="702" t="s">
        <v>110</v>
      </c>
      <c r="AU21" s="703" t="s">
        <v>110</v>
      </c>
      <c r="AV21" s="704" t="s">
        <v>110</v>
      </c>
      <c r="AW21" s="704">
        <v>230000</v>
      </c>
      <c r="AX21" s="705">
        <f t="shared" si="91"/>
        <v>230000</v>
      </c>
      <c r="AY21" s="706">
        <v>0.02</v>
      </c>
      <c r="AZ21" s="703" t="s">
        <v>110</v>
      </c>
      <c r="BA21" s="707" t="s">
        <v>110</v>
      </c>
      <c r="BB21" s="703"/>
      <c r="BC21" s="708">
        <v>0.4</v>
      </c>
      <c r="BD21" s="698">
        <f t="shared" si="87"/>
        <v>0.6</v>
      </c>
      <c r="BE21" s="699">
        <f t="shared" si="88"/>
        <v>4218592.7523477627</v>
      </c>
      <c r="BF21" s="699">
        <f t="shared" si="88"/>
        <v>6327889.1285216445</v>
      </c>
      <c r="BG21" s="701">
        <v>1</v>
      </c>
      <c r="BH21" s="706">
        <v>7.0000000000000007E-2</v>
      </c>
      <c r="BI21" s="709">
        <v>10</v>
      </c>
      <c r="BJ21" s="706">
        <v>0.17500000000000002</v>
      </c>
      <c r="BK21" s="706">
        <f t="shared" si="89"/>
        <v>0.29249999999999998</v>
      </c>
      <c r="BL21" s="710">
        <f t="shared" si="83"/>
        <v>0.12481000000000002</v>
      </c>
      <c r="BM21" s="701"/>
      <c r="BN21" s="711">
        <v>20</v>
      </c>
      <c r="BO21" s="711">
        <v>7</v>
      </c>
      <c r="BP21" s="701">
        <v>0</v>
      </c>
      <c r="BQ21" s="698">
        <v>0.12</v>
      </c>
      <c r="BR21" s="698">
        <v>0</v>
      </c>
      <c r="BS21" s="698">
        <v>0.3</v>
      </c>
      <c r="BT21" s="712">
        <v>1</v>
      </c>
      <c r="BU21" s="713">
        <v>0.5</v>
      </c>
      <c r="BV21" s="714">
        <v>0</v>
      </c>
      <c r="BW21" s="715"/>
    </row>
    <row r="22" spans="1:77" s="657" customFormat="1" x14ac:dyDescent="0.3">
      <c r="A22" s="685">
        <f t="shared" si="90"/>
        <v>13</v>
      </c>
      <c r="B22" s="657">
        <f t="shared" si="84"/>
        <v>13</v>
      </c>
      <c r="C22" s="686" t="s">
        <v>5</v>
      </c>
      <c r="D22" s="650" t="s">
        <v>465</v>
      </c>
      <c r="F22" s="11"/>
      <c r="G22" s="657" t="s">
        <v>145</v>
      </c>
      <c r="H22" s="657" t="s">
        <v>151</v>
      </c>
      <c r="I22" s="657" t="s">
        <v>133</v>
      </c>
      <c r="J22" s="657" t="s">
        <v>145</v>
      </c>
      <c r="K22" s="657" t="s">
        <v>134</v>
      </c>
      <c r="L22" s="657" t="s">
        <v>459</v>
      </c>
      <c r="M22" s="657" t="s">
        <v>121</v>
      </c>
      <c r="N22" s="657">
        <v>0</v>
      </c>
      <c r="O22" s="689">
        <v>20</v>
      </c>
      <c r="P22" s="690" t="s">
        <v>110</v>
      </c>
      <c r="Q22" s="692" t="s">
        <v>110</v>
      </c>
      <c r="R22" s="692" t="s">
        <v>110</v>
      </c>
      <c r="S22" s="717">
        <v>0</v>
      </c>
      <c r="T22" s="768">
        <v>2</v>
      </c>
      <c r="U22" s="762">
        <v>2</v>
      </c>
      <c r="V22" s="716">
        <f t="shared" ref="V22:V25" si="92">T22*U22</f>
        <v>4</v>
      </c>
      <c r="W22" s="763">
        <v>0.85</v>
      </c>
      <c r="X22" s="767">
        <v>0</v>
      </c>
      <c r="Y22" s="763">
        <v>1</v>
      </c>
      <c r="Z22" s="763">
        <v>0.95</v>
      </c>
      <c r="AA22" s="764">
        <v>20</v>
      </c>
      <c r="AB22" s="765">
        <v>365</v>
      </c>
      <c r="AC22" s="766">
        <v>0</v>
      </c>
      <c r="AE22" s="695" t="s">
        <v>110</v>
      </c>
      <c r="AF22" s="696" t="s">
        <v>110</v>
      </c>
      <c r="AG22" s="696" t="s">
        <v>110</v>
      </c>
      <c r="AH22" s="697" t="s">
        <v>110</v>
      </c>
      <c r="AI22" s="697" t="s">
        <v>110</v>
      </c>
      <c r="AJ22" s="697" t="s">
        <v>110</v>
      </c>
      <c r="AK22" s="697" t="s">
        <v>110</v>
      </c>
      <c r="AL22" s="697" t="s">
        <v>110</v>
      </c>
      <c r="AM22" s="697" t="s">
        <v>110</v>
      </c>
      <c r="AN22" s="697">
        <v>2640787.5798561508</v>
      </c>
      <c r="AO22" s="697">
        <v>0</v>
      </c>
      <c r="AP22" s="698">
        <v>0</v>
      </c>
      <c r="AQ22" s="699">
        <f t="shared" si="85"/>
        <v>0</v>
      </c>
      <c r="AR22" s="700">
        <f t="shared" si="86"/>
        <v>2640787.5798561508</v>
      </c>
      <c r="AS22" s="701"/>
      <c r="AT22" s="702" t="s">
        <v>110</v>
      </c>
      <c r="AU22" s="703" t="s">
        <v>110</v>
      </c>
      <c r="AV22" s="704" t="s">
        <v>110</v>
      </c>
      <c r="AW22" s="704">
        <v>44000</v>
      </c>
      <c r="AX22" s="705">
        <f t="shared" si="91"/>
        <v>44000</v>
      </c>
      <c r="AY22" s="706">
        <v>0.02</v>
      </c>
      <c r="AZ22" s="703" t="s">
        <v>110</v>
      </c>
      <c r="BA22" s="707" t="s">
        <v>110</v>
      </c>
      <c r="BB22" s="703"/>
      <c r="BC22" s="708">
        <v>0.4</v>
      </c>
      <c r="BD22" s="698">
        <f t="shared" si="87"/>
        <v>0.6</v>
      </c>
      <c r="BE22" s="699">
        <f t="shared" si="88"/>
        <v>1056315.0319424605</v>
      </c>
      <c r="BF22" s="699">
        <f t="shared" si="88"/>
        <v>1584472.5479136903</v>
      </c>
      <c r="BG22" s="701">
        <v>1</v>
      </c>
      <c r="BH22" s="706">
        <v>7.0000000000000007E-2</v>
      </c>
      <c r="BI22" s="709">
        <v>10</v>
      </c>
      <c r="BJ22" s="706">
        <v>0.17500000000000002</v>
      </c>
      <c r="BK22" s="706">
        <f t="shared" si="89"/>
        <v>0.29249999999999998</v>
      </c>
      <c r="BL22" s="710">
        <f t="shared" si="83"/>
        <v>0.12481000000000002</v>
      </c>
      <c r="BM22" s="701"/>
      <c r="BN22" s="711">
        <v>20</v>
      </c>
      <c r="BO22" s="711">
        <v>7</v>
      </c>
      <c r="BP22" s="701">
        <v>0</v>
      </c>
      <c r="BQ22" s="698">
        <v>0.12</v>
      </c>
      <c r="BR22" s="698">
        <v>0</v>
      </c>
      <c r="BS22" s="698">
        <v>0.3</v>
      </c>
      <c r="BT22" s="712">
        <v>1</v>
      </c>
      <c r="BU22" s="713">
        <v>0.5</v>
      </c>
      <c r="BV22" s="714">
        <v>0</v>
      </c>
      <c r="BW22" s="715"/>
    </row>
    <row r="23" spans="1:77" s="657" customFormat="1" x14ac:dyDescent="0.3">
      <c r="A23" s="685">
        <f t="shared" si="90"/>
        <v>14</v>
      </c>
      <c r="B23" s="657">
        <f t="shared" si="84"/>
        <v>14</v>
      </c>
      <c r="C23" s="686" t="s">
        <v>115</v>
      </c>
      <c r="D23" s="650" t="s">
        <v>467</v>
      </c>
      <c r="F23" s="11"/>
      <c r="G23" s="657" t="s">
        <v>145</v>
      </c>
      <c r="H23" s="657" t="s">
        <v>151</v>
      </c>
      <c r="I23" s="657" t="s">
        <v>133</v>
      </c>
      <c r="J23" s="657" t="s">
        <v>145</v>
      </c>
      <c r="K23" s="657" t="s">
        <v>134</v>
      </c>
      <c r="L23" s="657" t="s">
        <v>459</v>
      </c>
      <c r="M23" s="657" t="s">
        <v>121</v>
      </c>
      <c r="N23" s="657">
        <v>0</v>
      </c>
      <c r="O23" s="689">
        <v>20</v>
      </c>
      <c r="P23" s="690" t="s">
        <v>110</v>
      </c>
      <c r="Q23" s="692" t="s">
        <v>110</v>
      </c>
      <c r="R23" s="692" t="s">
        <v>110</v>
      </c>
      <c r="S23" s="717">
        <v>0</v>
      </c>
      <c r="T23" s="768">
        <v>2</v>
      </c>
      <c r="U23" s="762">
        <v>4</v>
      </c>
      <c r="V23" s="716">
        <f t="shared" si="92"/>
        <v>8</v>
      </c>
      <c r="W23" s="763">
        <v>0.85</v>
      </c>
      <c r="X23" s="767">
        <v>0</v>
      </c>
      <c r="Y23" s="763">
        <v>1</v>
      </c>
      <c r="Z23" s="763">
        <v>0.95</v>
      </c>
      <c r="AA23" s="764">
        <v>20</v>
      </c>
      <c r="AB23" s="765">
        <v>365</v>
      </c>
      <c r="AC23" s="766">
        <v>0</v>
      </c>
      <c r="AE23" s="695" t="s">
        <v>110</v>
      </c>
      <c r="AF23" s="696" t="s">
        <v>110</v>
      </c>
      <c r="AG23" s="696" t="s">
        <v>110</v>
      </c>
      <c r="AH23" s="697" t="s">
        <v>110</v>
      </c>
      <c r="AI23" s="697" t="s">
        <v>110</v>
      </c>
      <c r="AJ23" s="697" t="s">
        <v>110</v>
      </c>
      <c r="AK23" s="697" t="s">
        <v>110</v>
      </c>
      <c r="AL23" s="697" t="s">
        <v>110</v>
      </c>
      <c r="AM23" s="697" t="s">
        <v>110</v>
      </c>
      <c r="AN23" s="697">
        <v>4218592.7523477627</v>
      </c>
      <c r="AO23" s="697">
        <v>0</v>
      </c>
      <c r="AP23" s="698">
        <v>0</v>
      </c>
      <c r="AQ23" s="699">
        <f t="shared" si="85"/>
        <v>0</v>
      </c>
      <c r="AR23" s="700">
        <f t="shared" si="86"/>
        <v>4218592.7523477627</v>
      </c>
      <c r="AS23" s="701"/>
      <c r="AT23" s="702" t="s">
        <v>110</v>
      </c>
      <c r="AU23" s="703" t="s">
        <v>110</v>
      </c>
      <c r="AV23" s="704" t="s">
        <v>110</v>
      </c>
      <c r="AW23" s="704">
        <v>92000</v>
      </c>
      <c r="AX23" s="705">
        <f t="shared" si="91"/>
        <v>92000</v>
      </c>
      <c r="AY23" s="706">
        <v>0.02</v>
      </c>
      <c r="AZ23" s="703" t="s">
        <v>110</v>
      </c>
      <c r="BA23" s="707" t="s">
        <v>110</v>
      </c>
      <c r="BB23" s="703"/>
      <c r="BC23" s="708">
        <v>0.5</v>
      </c>
      <c r="BD23" s="698">
        <f t="shared" si="87"/>
        <v>0.5</v>
      </c>
      <c r="BE23" s="699">
        <f t="shared" si="88"/>
        <v>2109296.3761738813</v>
      </c>
      <c r="BF23" s="699">
        <f t="shared" si="88"/>
        <v>2109296.3761738813</v>
      </c>
      <c r="BG23" s="701">
        <v>1</v>
      </c>
      <c r="BH23" s="706">
        <v>7.0000000000000007E-2</v>
      </c>
      <c r="BI23" s="709">
        <v>10</v>
      </c>
      <c r="BJ23" s="706">
        <v>0.17500000000000002</v>
      </c>
      <c r="BK23" s="706">
        <f t="shared" si="89"/>
        <v>0.29249999999999998</v>
      </c>
      <c r="BL23" s="710">
        <f t="shared" si="83"/>
        <v>0.11226250000000002</v>
      </c>
      <c r="BM23" s="701"/>
      <c r="BN23" s="711">
        <v>20</v>
      </c>
      <c r="BO23" s="711">
        <v>7</v>
      </c>
      <c r="BP23" s="701">
        <v>0</v>
      </c>
      <c r="BQ23" s="698">
        <v>0.12</v>
      </c>
      <c r="BR23" s="698">
        <v>0</v>
      </c>
      <c r="BS23" s="698">
        <v>0.3</v>
      </c>
      <c r="BT23" s="712">
        <v>1</v>
      </c>
      <c r="BU23" s="713">
        <v>0.5</v>
      </c>
      <c r="BV23" s="714">
        <v>0</v>
      </c>
      <c r="BW23" s="715"/>
    </row>
    <row r="24" spans="1:77" s="657" customFormat="1" x14ac:dyDescent="0.3">
      <c r="A24" s="685">
        <f t="shared" si="90"/>
        <v>15</v>
      </c>
      <c r="B24" s="657">
        <f t="shared" si="84"/>
        <v>15</v>
      </c>
      <c r="C24" s="686" t="s">
        <v>153</v>
      </c>
      <c r="D24" s="650" t="s">
        <v>466</v>
      </c>
      <c r="F24" s="11"/>
      <c r="G24" s="657" t="s">
        <v>145</v>
      </c>
      <c r="H24" s="657" t="s">
        <v>151</v>
      </c>
      <c r="I24" s="657" t="s">
        <v>133</v>
      </c>
      <c r="J24" s="657" t="s">
        <v>145</v>
      </c>
      <c r="K24" s="657" t="s">
        <v>134</v>
      </c>
      <c r="L24" s="657" t="s">
        <v>459</v>
      </c>
      <c r="M24" s="657" t="s">
        <v>121</v>
      </c>
      <c r="N24" s="657">
        <v>0</v>
      </c>
      <c r="O24" s="689">
        <v>20</v>
      </c>
      <c r="P24" s="690" t="s">
        <v>110</v>
      </c>
      <c r="Q24" s="692" t="s">
        <v>110</v>
      </c>
      <c r="R24" s="692" t="s">
        <v>110</v>
      </c>
      <c r="S24" s="717">
        <v>0</v>
      </c>
      <c r="T24" s="768">
        <v>5</v>
      </c>
      <c r="U24" s="762">
        <v>2</v>
      </c>
      <c r="V24" s="716">
        <f t="shared" si="92"/>
        <v>10</v>
      </c>
      <c r="W24" s="763">
        <v>0.85</v>
      </c>
      <c r="X24" s="767">
        <v>0</v>
      </c>
      <c r="Y24" s="763">
        <v>1</v>
      </c>
      <c r="Z24" s="763">
        <v>0.95</v>
      </c>
      <c r="AA24" s="764">
        <v>20</v>
      </c>
      <c r="AB24" s="765">
        <v>365</v>
      </c>
      <c r="AC24" s="766">
        <v>0</v>
      </c>
      <c r="AE24" s="695" t="s">
        <v>110</v>
      </c>
      <c r="AF24" s="696" t="s">
        <v>110</v>
      </c>
      <c r="AG24" s="696" t="s">
        <v>110</v>
      </c>
      <c r="AH24" s="697" t="s">
        <v>110</v>
      </c>
      <c r="AI24" s="697" t="s">
        <v>110</v>
      </c>
      <c r="AJ24" s="697" t="s">
        <v>110</v>
      </c>
      <c r="AK24" s="697" t="s">
        <v>110</v>
      </c>
      <c r="AL24" s="697" t="s">
        <v>110</v>
      </c>
      <c r="AM24" s="697" t="s">
        <v>110</v>
      </c>
      <c r="AN24" s="697">
        <v>6601968.9496403784</v>
      </c>
      <c r="AO24" s="697">
        <v>0</v>
      </c>
      <c r="AP24" s="698">
        <v>0</v>
      </c>
      <c r="AQ24" s="699">
        <f t="shared" si="85"/>
        <v>0</v>
      </c>
      <c r="AR24" s="700">
        <f t="shared" si="86"/>
        <v>6601968.9496403784</v>
      </c>
      <c r="AS24" s="701"/>
      <c r="AT24" s="702" t="s">
        <v>110</v>
      </c>
      <c r="AU24" s="703" t="s">
        <v>110</v>
      </c>
      <c r="AV24" s="704" t="s">
        <v>110</v>
      </c>
      <c r="AW24" s="704">
        <v>110000</v>
      </c>
      <c r="AX24" s="705">
        <f t="shared" si="91"/>
        <v>110000</v>
      </c>
      <c r="AY24" s="706">
        <v>0.02</v>
      </c>
      <c r="AZ24" s="703" t="s">
        <v>110</v>
      </c>
      <c r="BA24" s="707" t="s">
        <v>110</v>
      </c>
      <c r="BB24" s="703"/>
      <c r="BC24" s="708">
        <v>0.4</v>
      </c>
      <c r="BD24" s="698">
        <f t="shared" si="87"/>
        <v>0.6</v>
      </c>
      <c r="BE24" s="699">
        <f t="shared" si="88"/>
        <v>2640787.5798561517</v>
      </c>
      <c r="BF24" s="699">
        <f t="shared" si="88"/>
        <v>3961181.3697842266</v>
      </c>
      <c r="BG24" s="701">
        <v>1</v>
      </c>
      <c r="BH24" s="706">
        <v>7.0000000000000007E-2</v>
      </c>
      <c r="BI24" s="709">
        <v>10</v>
      </c>
      <c r="BJ24" s="706">
        <v>0.17500000000000002</v>
      </c>
      <c r="BK24" s="706">
        <f t="shared" si="89"/>
        <v>0.29249999999999998</v>
      </c>
      <c r="BL24" s="710">
        <f t="shared" si="83"/>
        <v>0.12481000000000002</v>
      </c>
      <c r="BM24" s="701"/>
      <c r="BN24" s="711">
        <v>20</v>
      </c>
      <c r="BO24" s="711">
        <v>7</v>
      </c>
      <c r="BP24" s="701">
        <v>0</v>
      </c>
      <c r="BQ24" s="698">
        <v>0.12</v>
      </c>
      <c r="BR24" s="698">
        <v>0</v>
      </c>
      <c r="BS24" s="698">
        <v>0.3</v>
      </c>
      <c r="BT24" s="712">
        <v>1</v>
      </c>
      <c r="BU24" s="713">
        <v>0.5</v>
      </c>
      <c r="BV24" s="714">
        <v>0</v>
      </c>
      <c r="BW24" s="715"/>
    </row>
    <row r="25" spans="1:77" s="657" customFormat="1" x14ac:dyDescent="0.3">
      <c r="A25" s="685">
        <f t="shared" si="90"/>
        <v>16</v>
      </c>
      <c r="B25" s="657">
        <f t="shared" si="84"/>
        <v>16</v>
      </c>
      <c r="C25" s="686" t="s">
        <v>117</v>
      </c>
      <c r="D25" s="650" t="s">
        <v>468</v>
      </c>
      <c r="F25" s="11"/>
      <c r="G25" s="657" t="s">
        <v>145</v>
      </c>
      <c r="H25" s="657" t="s">
        <v>151</v>
      </c>
      <c r="I25" s="657" t="s">
        <v>133</v>
      </c>
      <c r="J25" s="657" t="s">
        <v>145</v>
      </c>
      <c r="K25" s="657" t="s">
        <v>134</v>
      </c>
      <c r="L25" s="657" t="s">
        <v>459</v>
      </c>
      <c r="M25" s="657" t="s">
        <v>121</v>
      </c>
      <c r="N25" s="657">
        <v>0</v>
      </c>
      <c r="O25" s="689">
        <v>20</v>
      </c>
      <c r="P25" s="690" t="s">
        <v>110</v>
      </c>
      <c r="Q25" s="692" t="s">
        <v>110</v>
      </c>
      <c r="R25" s="692" t="s">
        <v>110</v>
      </c>
      <c r="S25" s="717">
        <v>0</v>
      </c>
      <c r="T25" s="768">
        <v>5</v>
      </c>
      <c r="U25" s="762">
        <v>4</v>
      </c>
      <c r="V25" s="716">
        <f t="shared" si="92"/>
        <v>20</v>
      </c>
      <c r="W25" s="763">
        <v>0.85</v>
      </c>
      <c r="X25" s="767">
        <v>0</v>
      </c>
      <c r="Y25" s="763">
        <v>1</v>
      </c>
      <c r="Z25" s="763">
        <v>0.95</v>
      </c>
      <c r="AA25" s="764">
        <v>20</v>
      </c>
      <c r="AB25" s="765">
        <v>365</v>
      </c>
      <c r="AC25" s="766">
        <v>0</v>
      </c>
      <c r="AE25" s="695" t="s">
        <v>110</v>
      </c>
      <c r="AF25" s="696" t="s">
        <v>110</v>
      </c>
      <c r="AG25" s="696" t="s">
        <v>110</v>
      </c>
      <c r="AH25" s="697" t="s">
        <v>110</v>
      </c>
      <c r="AI25" s="697" t="s">
        <v>110</v>
      </c>
      <c r="AJ25" s="697" t="s">
        <v>110</v>
      </c>
      <c r="AK25" s="697" t="s">
        <v>110</v>
      </c>
      <c r="AL25" s="697" t="s">
        <v>110</v>
      </c>
      <c r="AM25" s="697" t="s">
        <v>110</v>
      </c>
      <c r="AN25" s="697">
        <v>10546481.880869407</v>
      </c>
      <c r="AO25" s="697">
        <v>0</v>
      </c>
      <c r="AP25" s="698">
        <v>0</v>
      </c>
      <c r="AQ25" s="699">
        <f t="shared" si="85"/>
        <v>0</v>
      </c>
      <c r="AR25" s="700">
        <f t="shared" si="86"/>
        <v>10546481.880869407</v>
      </c>
      <c r="AS25" s="701"/>
      <c r="AT25" s="702" t="s">
        <v>110</v>
      </c>
      <c r="AU25" s="703" t="s">
        <v>110</v>
      </c>
      <c r="AV25" s="704" t="s">
        <v>110</v>
      </c>
      <c r="AW25" s="704">
        <v>230000</v>
      </c>
      <c r="AX25" s="705">
        <f t="shared" si="91"/>
        <v>230000</v>
      </c>
      <c r="AY25" s="706">
        <v>0.02</v>
      </c>
      <c r="AZ25" s="703" t="s">
        <v>110</v>
      </c>
      <c r="BA25" s="707" t="s">
        <v>110</v>
      </c>
      <c r="BB25" s="703"/>
      <c r="BC25" s="708">
        <v>0.5</v>
      </c>
      <c r="BD25" s="698">
        <f t="shared" si="87"/>
        <v>0.5</v>
      </c>
      <c r="BE25" s="699">
        <f t="shared" si="88"/>
        <v>5273240.9404347036</v>
      </c>
      <c r="BF25" s="699">
        <f t="shared" si="88"/>
        <v>5273240.9404347036</v>
      </c>
      <c r="BG25" s="701">
        <v>1</v>
      </c>
      <c r="BH25" s="706">
        <v>7.0000000000000007E-2</v>
      </c>
      <c r="BI25" s="709">
        <v>10</v>
      </c>
      <c r="BJ25" s="706">
        <v>0.17500000000000002</v>
      </c>
      <c r="BK25" s="706">
        <f t="shared" si="89"/>
        <v>0.29249999999999998</v>
      </c>
      <c r="BL25" s="710">
        <f t="shared" si="83"/>
        <v>0.11226250000000002</v>
      </c>
      <c r="BM25" s="701"/>
      <c r="BN25" s="711">
        <v>20</v>
      </c>
      <c r="BO25" s="711">
        <v>7</v>
      </c>
      <c r="BP25" s="701">
        <v>0</v>
      </c>
      <c r="BQ25" s="698">
        <v>0.12</v>
      </c>
      <c r="BR25" s="698">
        <v>0</v>
      </c>
      <c r="BS25" s="698">
        <v>0.3</v>
      </c>
      <c r="BT25" s="712">
        <v>1</v>
      </c>
      <c r="BU25" s="713">
        <v>0.5</v>
      </c>
      <c r="BV25" s="714">
        <v>0</v>
      </c>
      <c r="BW25" s="715"/>
    </row>
    <row r="26" spans="1:77" s="657" customFormat="1" x14ac:dyDescent="0.3">
      <c r="A26" s="685">
        <f t="shared" si="90"/>
        <v>17</v>
      </c>
      <c r="B26" s="657">
        <f t="shared" si="84"/>
        <v>17</v>
      </c>
      <c r="C26" s="686" t="s">
        <v>612</v>
      </c>
      <c r="D26" s="650" t="s">
        <v>613</v>
      </c>
      <c r="F26" s="11"/>
      <c r="G26" s="657" t="s">
        <v>138</v>
      </c>
      <c r="H26" s="657" t="s">
        <v>150</v>
      </c>
      <c r="I26" s="657" t="s">
        <v>460</v>
      </c>
      <c r="J26" s="657" t="s">
        <v>135</v>
      </c>
      <c r="K26" s="657" t="s">
        <v>134</v>
      </c>
      <c r="L26" s="657" t="s">
        <v>459</v>
      </c>
      <c r="M26" s="657" t="s">
        <v>121</v>
      </c>
      <c r="N26" s="657">
        <v>0</v>
      </c>
      <c r="O26" s="689">
        <v>20</v>
      </c>
      <c r="P26" s="690" t="s">
        <v>110</v>
      </c>
      <c r="Q26" s="692" t="s">
        <v>110</v>
      </c>
      <c r="R26" s="692" t="s">
        <v>110</v>
      </c>
      <c r="S26" s="717">
        <v>1</v>
      </c>
      <c r="T26" s="768">
        <v>2.5000000000000001E-2</v>
      </c>
      <c r="U26" s="762">
        <v>2</v>
      </c>
      <c r="V26" s="716">
        <v>0.05</v>
      </c>
      <c r="W26" s="763">
        <v>0.85</v>
      </c>
      <c r="X26" s="767">
        <v>0.2</v>
      </c>
      <c r="Y26" s="763">
        <v>1</v>
      </c>
      <c r="Z26" s="763">
        <v>0.95</v>
      </c>
      <c r="AA26" s="764">
        <v>20</v>
      </c>
      <c r="AB26" s="765">
        <v>365</v>
      </c>
      <c r="AC26" s="766">
        <v>0</v>
      </c>
      <c r="AE26" s="695" t="s">
        <v>110</v>
      </c>
      <c r="AF26" s="696" t="s">
        <v>110</v>
      </c>
      <c r="AG26" s="696" t="s">
        <v>110</v>
      </c>
      <c r="AH26" s="697" t="s">
        <v>110</v>
      </c>
      <c r="AI26" s="697" t="s">
        <v>110</v>
      </c>
      <c r="AJ26" s="697" t="s">
        <v>110</v>
      </c>
      <c r="AK26" s="697" t="s">
        <v>110</v>
      </c>
      <c r="AL26" s="697" t="s">
        <v>110</v>
      </c>
      <c r="AM26" s="697" t="s">
        <v>110</v>
      </c>
      <c r="AN26" s="697">
        <v>41541.000000000007</v>
      </c>
      <c r="AO26" s="697">
        <v>0</v>
      </c>
      <c r="AP26" s="698">
        <v>0</v>
      </c>
      <c r="AQ26" s="699">
        <f t="shared" si="85"/>
        <v>0</v>
      </c>
      <c r="AR26" s="700">
        <f>SUM(AN26:AO26,AQ26)</f>
        <v>41541.000000000007</v>
      </c>
      <c r="AS26" s="701"/>
      <c r="AT26" s="702" t="s">
        <v>110</v>
      </c>
      <c r="AU26" s="703" t="s">
        <v>110</v>
      </c>
      <c r="AV26" s="704" t="s">
        <v>110</v>
      </c>
      <c r="AW26" s="704">
        <v>1925</v>
      </c>
      <c r="AX26" s="705">
        <v>1925</v>
      </c>
      <c r="AY26" s="706">
        <v>0.02</v>
      </c>
      <c r="AZ26" s="703" t="s">
        <v>110</v>
      </c>
      <c r="BA26" s="707" t="s">
        <v>110</v>
      </c>
      <c r="BB26" s="703"/>
      <c r="BC26" s="708">
        <v>0.25</v>
      </c>
      <c r="BD26" s="698">
        <v>0.75</v>
      </c>
      <c r="BE26" s="699">
        <v>10385.250000000002</v>
      </c>
      <c r="BF26" s="699">
        <v>31155.750000000007</v>
      </c>
      <c r="BG26" s="701">
        <v>1</v>
      </c>
      <c r="BH26" s="706">
        <v>7.0000000000000007E-2</v>
      </c>
      <c r="BI26" s="709">
        <v>10</v>
      </c>
      <c r="BJ26" s="706">
        <v>0.125</v>
      </c>
      <c r="BK26" s="706">
        <v>0.29249999999999998</v>
      </c>
      <c r="BL26" s="710">
        <v>0.10613125</v>
      </c>
      <c r="BM26" s="701"/>
      <c r="BN26" s="711">
        <v>20</v>
      </c>
      <c r="BO26" s="711">
        <v>7</v>
      </c>
      <c r="BP26" s="701">
        <v>0</v>
      </c>
      <c r="BQ26" s="698">
        <v>0.12</v>
      </c>
      <c r="BR26" s="698">
        <v>0</v>
      </c>
      <c r="BS26" s="698">
        <v>0.3</v>
      </c>
      <c r="BT26" s="712">
        <v>1</v>
      </c>
      <c r="BU26" s="713">
        <v>0.5</v>
      </c>
      <c r="BV26" s="714">
        <v>400</v>
      </c>
      <c r="BW26" s="715"/>
    </row>
    <row r="27" spans="1:77" x14ac:dyDescent="0.3">
      <c r="A27" s="6"/>
      <c r="C27" s="718"/>
      <c r="D27" s="687"/>
      <c r="E27" s="687"/>
      <c r="F27" s="11"/>
      <c r="G27" s="1"/>
      <c r="H27" s="1"/>
      <c r="I27" s="1"/>
      <c r="J27" s="1"/>
      <c r="K27" s="1"/>
      <c r="L27" s="719"/>
      <c r="M27" s="1"/>
      <c r="N27" s="8"/>
      <c r="O27" s="720"/>
      <c r="P27" s="721"/>
      <c r="Q27" s="13"/>
      <c r="R27" s="24"/>
      <c r="S27" s="722"/>
      <c r="T27" s="723"/>
      <c r="U27" s="724"/>
      <c r="V27" s="725"/>
      <c r="W27" s="726"/>
      <c r="X27" s="726"/>
      <c r="Y27" s="726"/>
      <c r="Z27" s="726"/>
      <c r="AA27" s="727"/>
      <c r="AB27" s="20"/>
      <c r="AC27" s="728"/>
      <c r="AE27" s="729"/>
      <c r="AF27" s="730"/>
      <c r="AG27" s="730"/>
      <c r="AH27" s="731"/>
      <c r="AI27" s="731"/>
      <c r="AJ27" s="731"/>
      <c r="AK27" s="732"/>
      <c r="AL27" s="732"/>
      <c r="AM27" s="731"/>
      <c r="AN27" s="733"/>
      <c r="AO27" s="732"/>
      <c r="AP27" s="24"/>
      <c r="AQ27" s="731"/>
      <c r="AR27" s="734"/>
      <c r="AS27" s="8"/>
      <c r="AT27" s="735"/>
      <c r="AU27" s="736"/>
      <c r="AV27" s="508"/>
      <c r="AW27" s="508"/>
      <c r="AX27" s="508"/>
      <c r="AY27" s="13"/>
      <c r="AZ27" s="737"/>
      <c r="BA27" s="738"/>
      <c r="BB27" s="737"/>
      <c r="BC27" s="739"/>
      <c r="BD27" s="4"/>
      <c r="BE27" s="740"/>
      <c r="BF27" s="740"/>
      <c r="BG27" s="20"/>
      <c r="BH27" s="28"/>
      <c r="BI27" s="741"/>
      <c r="BJ27" s="28"/>
      <c r="BK27" s="35"/>
      <c r="BL27" s="742"/>
      <c r="BM27" s="8"/>
      <c r="BN27" s="743"/>
      <c r="BO27" s="743"/>
      <c r="BP27" s="8"/>
      <c r="BQ27" s="9"/>
      <c r="BR27" s="28"/>
      <c r="BS27" s="28"/>
      <c r="BT27" s="28"/>
      <c r="BU27" s="744"/>
      <c r="BV27" s="745"/>
      <c r="BW27" s="746"/>
      <c r="BY27" s="1"/>
    </row>
    <row r="28" spans="1:77" x14ac:dyDescent="0.3">
      <c r="A28" s="6"/>
      <c r="C28" s="718"/>
      <c r="D28" s="687"/>
      <c r="E28" s="687"/>
      <c r="F28" s="11"/>
      <c r="G28" s="1"/>
      <c r="H28" s="1"/>
      <c r="I28" s="1"/>
      <c r="J28" s="1"/>
      <c r="K28" s="1"/>
      <c r="L28" s="719"/>
      <c r="M28" s="1"/>
      <c r="N28" s="8"/>
      <c r="O28" s="720"/>
      <c r="P28" s="721"/>
      <c r="Q28" s="13"/>
      <c r="R28" s="24"/>
      <c r="S28" s="722"/>
      <c r="T28" s="723"/>
      <c r="U28" s="724"/>
      <c r="V28" s="725"/>
      <c r="W28" s="726"/>
      <c r="X28" s="726"/>
      <c r="Y28" s="726"/>
      <c r="Z28" s="726"/>
      <c r="AA28" s="727"/>
      <c r="AB28" s="20"/>
      <c r="AC28" s="728"/>
      <c r="AE28" s="729"/>
      <c r="AF28" s="730"/>
      <c r="AG28" s="730"/>
      <c r="AH28" s="731"/>
      <c r="AI28" s="731"/>
      <c r="AJ28" s="731"/>
      <c r="AK28" s="732"/>
      <c r="AL28" s="731"/>
      <c r="AM28" s="731"/>
      <c r="AN28" s="731"/>
      <c r="AO28" s="732"/>
      <c r="AP28" s="24"/>
      <c r="AQ28" s="731"/>
      <c r="AR28" s="734"/>
      <c r="AS28" s="8"/>
      <c r="AT28" s="735"/>
      <c r="AU28" s="736"/>
      <c r="AV28" s="508"/>
      <c r="AW28" s="508"/>
      <c r="AX28" s="508"/>
      <c r="AY28" s="13"/>
      <c r="AZ28" s="737"/>
      <c r="BA28" s="738"/>
      <c r="BB28" s="737"/>
      <c r="BC28" s="739"/>
      <c r="BD28" s="4"/>
      <c r="BE28" s="740"/>
      <c r="BF28" s="740"/>
      <c r="BG28" s="20"/>
      <c r="BH28" s="28"/>
      <c r="BI28" s="741"/>
      <c r="BJ28" s="28"/>
      <c r="BK28" s="35"/>
      <c r="BL28" s="742"/>
      <c r="BM28" s="8"/>
      <c r="BN28" s="743"/>
      <c r="BO28" s="743"/>
      <c r="BP28" s="8"/>
      <c r="BQ28" s="9"/>
      <c r="BR28" s="28"/>
      <c r="BS28" s="28"/>
      <c r="BT28" s="28"/>
      <c r="BU28" s="744"/>
      <c r="BV28" s="745"/>
      <c r="BW28" s="746"/>
      <c r="BY28" s="1"/>
    </row>
    <row r="29" spans="1:77" x14ac:dyDescent="0.3">
      <c r="A29" s="6"/>
      <c r="C29" s="718"/>
      <c r="D29" s="687"/>
      <c r="E29" s="687"/>
      <c r="G29" s="1"/>
      <c r="H29" s="1"/>
      <c r="I29" s="1"/>
      <c r="J29" s="1"/>
      <c r="K29" s="1"/>
      <c r="L29" s="719"/>
      <c r="M29" s="1"/>
      <c r="N29" s="8"/>
      <c r="O29" s="747"/>
      <c r="P29" s="748"/>
      <c r="Q29" s="24"/>
      <c r="R29" s="24"/>
      <c r="S29" s="749"/>
      <c r="T29" s="750"/>
      <c r="U29" s="751"/>
      <c r="V29" s="725"/>
      <c r="W29" s="752"/>
      <c r="X29" s="752"/>
      <c r="Y29" s="752"/>
      <c r="Z29" s="752"/>
      <c r="AA29" s="727"/>
      <c r="AB29" s="20"/>
      <c r="AC29" s="728"/>
      <c r="AE29" s="729"/>
      <c r="AF29" s="730"/>
      <c r="AG29" s="730"/>
      <c r="AH29" s="731"/>
      <c r="AI29" s="731"/>
      <c r="AJ29" s="731"/>
      <c r="AK29" s="732"/>
      <c r="AL29" s="732"/>
      <c r="AM29" s="731"/>
      <c r="AN29" s="731"/>
      <c r="AO29" s="732"/>
      <c r="AP29" s="24"/>
      <c r="AQ29" s="731"/>
      <c r="AR29" s="734"/>
      <c r="AS29" s="8"/>
      <c r="AT29" s="735"/>
      <c r="AU29" s="736"/>
      <c r="AV29" s="508"/>
      <c r="AW29" s="508"/>
      <c r="AX29" s="508"/>
      <c r="AY29" s="13"/>
      <c r="AZ29" s="737"/>
      <c r="BA29" s="738"/>
      <c r="BB29" s="737"/>
      <c r="BC29" s="739"/>
      <c r="BD29" s="4"/>
      <c r="BE29" s="740"/>
      <c r="BF29" s="740"/>
      <c r="BG29" s="20"/>
      <c r="BH29" s="28"/>
      <c r="BI29" s="741"/>
      <c r="BJ29" s="28"/>
      <c r="BK29" s="35"/>
      <c r="BL29" s="742"/>
      <c r="BM29" s="8"/>
      <c r="BN29" s="753"/>
      <c r="BO29" s="753"/>
      <c r="BP29" s="20"/>
      <c r="BQ29" s="24"/>
      <c r="BR29" s="28"/>
      <c r="BS29" s="28"/>
      <c r="BT29" s="28"/>
      <c r="BU29" s="744"/>
      <c r="BV29" s="745"/>
      <c r="BW29" s="746"/>
      <c r="BY29" s="1"/>
    </row>
    <row r="30" spans="1:77" x14ac:dyDescent="0.3">
      <c r="A30" s="6"/>
      <c r="C30" s="718"/>
      <c r="D30" s="687"/>
      <c r="E30" s="687"/>
      <c r="F30" s="11"/>
      <c r="G30" s="1"/>
      <c r="H30" s="1"/>
      <c r="I30" s="1"/>
      <c r="J30" s="1"/>
      <c r="K30" s="1"/>
      <c r="L30" s="719"/>
      <c r="M30" s="1"/>
      <c r="N30" s="8"/>
      <c r="O30" s="747"/>
      <c r="P30" s="748"/>
      <c r="Q30" s="24"/>
      <c r="R30" s="24"/>
      <c r="S30" s="749"/>
      <c r="T30" s="750"/>
      <c r="U30" s="751"/>
      <c r="V30" s="725"/>
      <c r="W30" s="752"/>
      <c r="X30" s="752"/>
      <c r="Y30" s="752"/>
      <c r="Z30" s="752"/>
      <c r="AA30" s="727"/>
      <c r="AB30" s="20"/>
      <c r="AC30" s="728"/>
      <c r="AE30" s="729"/>
      <c r="AF30" s="730"/>
      <c r="AG30" s="730"/>
      <c r="AH30" s="731"/>
      <c r="AI30" s="731"/>
      <c r="AJ30" s="731"/>
      <c r="AK30" s="732"/>
      <c r="AL30" s="732"/>
      <c r="AM30" s="731"/>
      <c r="AN30" s="731"/>
      <c r="AO30" s="732"/>
      <c r="AP30" s="24"/>
      <c r="AQ30" s="731"/>
      <c r="AR30" s="734"/>
      <c r="AS30" s="8"/>
      <c r="AT30" s="735"/>
      <c r="AU30" s="736"/>
      <c r="AV30" s="508"/>
      <c r="AW30" s="508"/>
      <c r="AX30" s="508"/>
      <c r="AY30" s="13"/>
      <c r="AZ30" s="737"/>
      <c r="BA30" s="738"/>
      <c r="BB30" s="737"/>
      <c r="BC30" s="739"/>
      <c r="BD30" s="4"/>
      <c r="BE30" s="740"/>
      <c r="BF30" s="740"/>
      <c r="BG30" s="20"/>
      <c r="BH30" s="28"/>
      <c r="BI30" s="741"/>
      <c r="BJ30" s="28"/>
      <c r="BK30" s="35"/>
      <c r="BL30" s="742"/>
      <c r="BM30" s="8"/>
      <c r="BN30" s="753"/>
      <c r="BO30" s="753"/>
      <c r="BP30" s="20"/>
      <c r="BQ30" s="24"/>
      <c r="BR30" s="28"/>
      <c r="BS30" s="28"/>
      <c r="BT30" s="28"/>
      <c r="BU30" s="744"/>
      <c r="BV30" s="745"/>
      <c r="BW30" s="746"/>
      <c r="BY30" s="1"/>
    </row>
    <row r="31" spans="1:77" x14ac:dyDescent="0.3">
      <c r="A31" s="6"/>
      <c r="C31" s="718"/>
      <c r="D31" s="687"/>
      <c r="E31" s="687"/>
      <c r="F31" s="11"/>
      <c r="G31" s="1"/>
      <c r="H31" s="1"/>
      <c r="I31" s="1"/>
      <c r="J31" s="1"/>
      <c r="K31" s="1"/>
      <c r="L31" s="719"/>
      <c r="M31" s="1"/>
      <c r="N31" s="8"/>
      <c r="O31" s="747"/>
      <c r="P31" s="748"/>
      <c r="Q31" s="24"/>
      <c r="R31" s="24"/>
      <c r="S31" s="749"/>
      <c r="T31" s="750"/>
      <c r="U31" s="751"/>
      <c r="V31" s="725"/>
      <c r="W31" s="752"/>
      <c r="X31" s="752"/>
      <c r="Y31" s="752"/>
      <c r="Z31" s="752"/>
      <c r="AA31" s="727"/>
      <c r="AB31" s="20"/>
      <c r="AC31" s="728"/>
      <c r="AE31" s="729"/>
      <c r="AF31" s="730"/>
      <c r="AG31" s="730"/>
      <c r="AH31" s="731"/>
      <c r="AI31" s="731"/>
      <c r="AJ31" s="731"/>
      <c r="AK31" s="732"/>
      <c r="AL31" s="732"/>
      <c r="AM31" s="731"/>
      <c r="AN31" s="731"/>
      <c r="AO31" s="732"/>
      <c r="AP31" s="24"/>
      <c r="AQ31" s="731"/>
      <c r="AR31" s="734"/>
      <c r="AS31" s="8"/>
      <c r="AT31" s="735"/>
      <c r="AU31" s="736"/>
      <c r="AV31" s="508"/>
      <c r="AW31" s="508"/>
      <c r="AX31" s="508"/>
      <c r="AY31" s="13"/>
      <c r="AZ31" s="737"/>
      <c r="BA31" s="738"/>
      <c r="BB31" s="737"/>
      <c r="BC31" s="739"/>
      <c r="BD31" s="4"/>
      <c r="BE31" s="740"/>
      <c r="BF31" s="740"/>
      <c r="BG31" s="20"/>
      <c r="BH31" s="28"/>
      <c r="BI31" s="741"/>
      <c r="BJ31" s="28"/>
      <c r="BK31" s="35"/>
      <c r="BL31" s="742"/>
      <c r="BM31" s="8"/>
      <c r="BN31" s="753"/>
      <c r="BO31" s="753"/>
      <c r="BP31" s="20"/>
      <c r="BQ31" s="24"/>
      <c r="BR31" s="28"/>
      <c r="BS31" s="28"/>
      <c r="BT31" s="28"/>
      <c r="BU31" s="744"/>
      <c r="BV31" s="745"/>
      <c r="BW31" s="746"/>
      <c r="BY31" s="1"/>
    </row>
    <row r="32" spans="1:77" x14ac:dyDescent="0.3">
      <c r="A32" s="6"/>
      <c r="C32" s="718"/>
      <c r="D32" s="687"/>
      <c r="E32" s="687"/>
      <c r="F32" s="11"/>
      <c r="G32" s="1"/>
      <c r="H32" s="1"/>
      <c r="I32" s="1"/>
      <c r="J32" s="1"/>
      <c r="K32" s="1"/>
      <c r="L32" s="719"/>
      <c r="M32" s="1"/>
      <c r="N32" s="8"/>
      <c r="O32" s="747"/>
      <c r="P32" s="748"/>
      <c r="Q32" s="24"/>
      <c r="R32" s="24"/>
      <c r="S32" s="749"/>
      <c r="T32" s="750"/>
      <c r="U32" s="751"/>
      <c r="V32" s="725"/>
      <c r="W32" s="752"/>
      <c r="X32" s="752"/>
      <c r="Y32" s="752"/>
      <c r="Z32" s="752"/>
      <c r="AA32" s="727"/>
      <c r="AB32" s="20"/>
      <c r="AC32" s="728"/>
      <c r="AE32" s="729"/>
      <c r="AF32" s="730"/>
      <c r="AG32" s="730"/>
      <c r="AH32" s="731"/>
      <c r="AI32" s="731"/>
      <c r="AJ32" s="731"/>
      <c r="AK32" s="732"/>
      <c r="AL32" s="732"/>
      <c r="AM32" s="731"/>
      <c r="AN32" s="731"/>
      <c r="AO32" s="732"/>
      <c r="AP32" s="24"/>
      <c r="AQ32" s="731"/>
      <c r="AR32" s="734"/>
      <c r="AS32" s="8"/>
      <c r="AT32" s="735"/>
      <c r="AU32" s="736"/>
      <c r="AV32" s="508"/>
      <c r="AW32" s="508"/>
      <c r="AX32" s="508"/>
      <c r="AY32" s="13"/>
      <c r="AZ32" s="737"/>
      <c r="BA32" s="738"/>
      <c r="BB32" s="737"/>
      <c r="BC32" s="739"/>
      <c r="BD32" s="4"/>
      <c r="BE32" s="740"/>
      <c r="BF32" s="740"/>
      <c r="BG32" s="20"/>
      <c r="BH32" s="28"/>
      <c r="BI32" s="741"/>
      <c r="BJ32" s="28"/>
      <c r="BK32" s="35"/>
      <c r="BL32" s="742"/>
      <c r="BM32" s="8"/>
      <c r="BN32" s="753"/>
      <c r="BO32" s="753"/>
      <c r="BP32" s="20"/>
      <c r="BQ32" s="24"/>
      <c r="BR32" s="28"/>
      <c r="BS32" s="28"/>
      <c r="BT32" s="28"/>
      <c r="BU32" s="744"/>
      <c r="BV32" s="745"/>
      <c r="BW32" s="746"/>
      <c r="BY32" s="1"/>
    </row>
    <row r="33" spans="1:77" x14ac:dyDescent="0.3">
      <c r="A33" s="6"/>
      <c r="C33" s="718"/>
      <c r="D33" s="687"/>
      <c r="E33" s="687"/>
      <c r="F33" s="11"/>
      <c r="G33" s="1"/>
      <c r="H33" s="1"/>
      <c r="I33" s="1"/>
      <c r="J33" s="1"/>
      <c r="K33" s="1"/>
      <c r="L33" s="719"/>
      <c r="M33" s="1"/>
      <c r="N33" s="8"/>
      <c r="O33" s="747"/>
      <c r="P33" s="748"/>
      <c r="Q33" s="24"/>
      <c r="R33" s="24"/>
      <c r="S33" s="749"/>
      <c r="T33" s="750"/>
      <c r="U33" s="751"/>
      <c r="V33" s="725"/>
      <c r="W33" s="752"/>
      <c r="X33" s="752"/>
      <c r="Y33" s="752"/>
      <c r="Z33" s="752"/>
      <c r="AA33" s="727"/>
      <c r="AB33" s="20"/>
      <c r="AC33" s="728"/>
      <c r="AE33" s="729"/>
      <c r="AF33" s="730"/>
      <c r="AG33" s="730"/>
      <c r="AH33" s="731"/>
      <c r="AI33" s="731"/>
      <c r="AJ33" s="731"/>
      <c r="AK33" s="732"/>
      <c r="AL33" s="732"/>
      <c r="AM33" s="731"/>
      <c r="AN33" s="731"/>
      <c r="AO33" s="732"/>
      <c r="AP33" s="24"/>
      <c r="AQ33" s="731"/>
      <c r="AR33" s="734"/>
      <c r="AS33" s="8"/>
      <c r="AT33" s="735"/>
      <c r="AU33" s="736"/>
      <c r="AV33" s="508"/>
      <c r="AW33" s="508"/>
      <c r="AX33" s="508"/>
      <c r="AY33" s="13"/>
      <c r="AZ33" s="737"/>
      <c r="BA33" s="738"/>
      <c r="BB33" s="737"/>
      <c r="BC33" s="739"/>
      <c r="BD33" s="4"/>
      <c r="BE33" s="740"/>
      <c r="BF33" s="740"/>
      <c r="BG33" s="20"/>
      <c r="BH33" s="28"/>
      <c r="BI33" s="741"/>
      <c r="BJ33" s="28"/>
      <c r="BK33" s="35"/>
      <c r="BL33" s="742"/>
      <c r="BM33" s="8"/>
      <c r="BN33" s="753"/>
      <c r="BO33" s="753"/>
      <c r="BP33" s="20"/>
      <c r="BQ33" s="24"/>
      <c r="BR33" s="28"/>
      <c r="BS33" s="28"/>
      <c r="BT33" s="28"/>
      <c r="BU33" s="744"/>
      <c r="BV33" s="745"/>
      <c r="BW33" s="746"/>
      <c r="BY33" s="1"/>
    </row>
    <row r="34" spans="1:77" x14ac:dyDescent="0.3">
      <c r="A34" s="6"/>
      <c r="C34" s="718"/>
      <c r="D34" s="687"/>
      <c r="E34" s="687"/>
      <c r="F34" s="11"/>
      <c r="G34" s="1"/>
      <c r="H34" s="1"/>
      <c r="I34" s="1"/>
      <c r="J34" s="1"/>
      <c r="K34" s="1"/>
      <c r="L34" s="719"/>
      <c r="M34" s="1"/>
      <c r="N34" s="8"/>
      <c r="O34" s="747"/>
      <c r="P34" s="748"/>
      <c r="Q34" s="24"/>
      <c r="R34" s="24"/>
      <c r="S34" s="749"/>
      <c r="T34" s="750"/>
      <c r="U34" s="751"/>
      <c r="V34" s="725"/>
      <c r="W34" s="752"/>
      <c r="X34" s="752"/>
      <c r="Y34" s="752"/>
      <c r="Z34" s="752"/>
      <c r="AA34" s="727"/>
      <c r="AB34" s="20"/>
      <c r="AC34" s="728"/>
      <c r="AE34" s="729"/>
      <c r="AF34" s="730"/>
      <c r="AG34" s="730"/>
      <c r="AH34" s="731"/>
      <c r="AI34" s="731"/>
      <c r="AJ34" s="731"/>
      <c r="AK34" s="732"/>
      <c r="AL34" s="732"/>
      <c r="AM34" s="731"/>
      <c r="AN34" s="731"/>
      <c r="AO34" s="732"/>
      <c r="AP34" s="24"/>
      <c r="AQ34" s="731"/>
      <c r="AR34" s="734"/>
      <c r="AS34" s="8"/>
      <c r="AT34" s="735"/>
      <c r="AU34" s="736"/>
      <c r="AV34" s="508"/>
      <c r="AW34" s="508"/>
      <c r="AX34" s="508"/>
      <c r="AY34" s="13"/>
      <c r="AZ34" s="737"/>
      <c r="BA34" s="738"/>
      <c r="BB34" s="737"/>
      <c r="BC34" s="739"/>
      <c r="BD34" s="4"/>
      <c r="BE34" s="740"/>
      <c r="BF34" s="740"/>
      <c r="BG34" s="20"/>
      <c r="BH34" s="28"/>
      <c r="BI34" s="741"/>
      <c r="BJ34" s="28"/>
      <c r="BK34" s="35"/>
      <c r="BL34" s="742"/>
      <c r="BM34" s="8"/>
      <c r="BN34" s="753"/>
      <c r="BO34" s="753"/>
      <c r="BP34" s="20"/>
      <c r="BQ34" s="24"/>
      <c r="BR34" s="28"/>
      <c r="BS34" s="28"/>
      <c r="BT34" s="28"/>
      <c r="BU34" s="744"/>
      <c r="BV34" s="745"/>
      <c r="BW34" s="746"/>
      <c r="BY34" s="1"/>
    </row>
    <row r="35" spans="1:77" x14ac:dyDescent="0.3">
      <c r="A35" s="6"/>
      <c r="C35" s="718"/>
      <c r="D35" s="687"/>
      <c r="E35" s="687"/>
      <c r="F35" s="11"/>
      <c r="G35" s="1"/>
      <c r="H35" s="1"/>
      <c r="I35" s="1"/>
      <c r="J35" s="1"/>
      <c r="K35" s="1"/>
      <c r="L35" s="719"/>
      <c r="M35" s="1"/>
      <c r="N35" s="8"/>
      <c r="O35" s="720"/>
      <c r="P35" s="754"/>
      <c r="Q35" s="9"/>
      <c r="R35" s="9"/>
      <c r="S35" s="722"/>
      <c r="T35" s="723"/>
      <c r="U35" s="724"/>
      <c r="V35" s="755"/>
      <c r="W35" s="726"/>
      <c r="X35" s="726"/>
      <c r="Y35" s="726"/>
      <c r="Z35" s="726"/>
      <c r="AA35" s="727"/>
      <c r="AB35" s="20"/>
      <c r="AC35" s="728"/>
      <c r="AE35" s="729"/>
      <c r="AF35" s="730"/>
      <c r="AG35" s="730"/>
      <c r="AH35" s="731"/>
      <c r="AI35" s="731"/>
      <c r="AJ35" s="731"/>
      <c r="AK35" s="732"/>
      <c r="AL35" s="732"/>
      <c r="AM35" s="731"/>
      <c r="AN35" s="731"/>
      <c r="AO35" s="732"/>
      <c r="AP35" s="24"/>
      <c r="AQ35" s="731"/>
      <c r="AR35" s="734"/>
      <c r="AS35" s="8"/>
      <c r="AT35" s="735"/>
      <c r="AU35" s="736"/>
      <c r="AV35" s="508"/>
      <c r="AW35" s="508"/>
      <c r="AX35" s="508"/>
      <c r="AY35" s="13"/>
      <c r="AZ35" s="737"/>
      <c r="BA35" s="738"/>
      <c r="BB35" s="737"/>
      <c r="BC35" s="739"/>
      <c r="BD35" s="4"/>
      <c r="BE35" s="740"/>
      <c r="BF35" s="740"/>
      <c r="BG35" s="20"/>
      <c r="BH35" s="28"/>
      <c r="BI35" s="741"/>
      <c r="BJ35" s="28"/>
      <c r="BK35" s="35"/>
      <c r="BL35" s="742"/>
      <c r="BM35" s="8"/>
      <c r="BN35" s="743"/>
      <c r="BO35" s="743"/>
      <c r="BP35" s="8"/>
      <c r="BQ35" s="9"/>
      <c r="BR35" s="28"/>
      <c r="BS35" s="28"/>
      <c r="BT35" s="28"/>
      <c r="BU35" s="744"/>
      <c r="BV35" s="745"/>
      <c r="BW35" s="746"/>
      <c r="BY35" s="1"/>
    </row>
    <row r="36" spans="1:77" x14ac:dyDescent="0.3">
      <c r="A36" s="6"/>
      <c r="C36" s="718"/>
      <c r="D36" s="687"/>
      <c r="E36" s="687"/>
      <c r="F36" s="11"/>
      <c r="G36" s="1"/>
      <c r="H36" s="1"/>
      <c r="I36" s="1"/>
      <c r="J36" s="1"/>
      <c r="K36" s="1"/>
      <c r="L36" s="719"/>
      <c r="M36" s="1"/>
      <c r="N36" s="8"/>
      <c r="O36" s="720"/>
      <c r="P36" s="754"/>
      <c r="Q36" s="9"/>
      <c r="R36" s="9"/>
      <c r="S36" s="722"/>
      <c r="T36" s="723"/>
      <c r="U36" s="724"/>
      <c r="V36" s="725"/>
      <c r="W36" s="726"/>
      <c r="X36" s="726"/>
      <c r="Y36" s="726"/>
      <c r="Z36" s="726"/>
      <c r="AA36" s="727"/>
      <c r="AB36" s="20"/>
      <c r="AC36" s="728"/>
      <c r="AE36" s="729"/>
      <c r="AF36" s="730"/>
      <c r="AG36" s="730"/>
      <c r="AH36" s="731"/>
      <c r="AI36" s="731"/>
      <c r="AJ36" s="731"/>
      <c r="AK36" s="732"/>
      <c r="AL36" s="731"/>
      <c r="AM36" s="731"/>
      <c r="AN36" s="731"/>
      <c r="AO36" s="732"/>
      <c r="AP36" s="24"/>
      <c r="AQ36" s="731"/>
      <c r="AR36" s="734"/>
      <c r="AS36" s="8"/>
      <c r="AT36" s="735"/>
      <c r="AU36" s="736"/>
      <c r="AV36" s="508"/>
      <c r="AW36" s="508"/>
      <c r="AX36" s="508"/>
      <c r="AY36" s="13"/>
      <c r="AZ36" s="737"/>
      <c r="BA36" s="738"/>
      <c r="BB36" s="737"/>
      <c r="BC36" s="739"/>
      <c r="BD36" s="4"/>
      <c r="BE36" s="740"/>
      <c r="BF36" s="740"/>
      <c r="BG36" s="20"/>
      <c r="BH36" s="28"/>
      <c r="BI36" s="741"/>
      <c r="BJ36" s="28"/>
      <c r="BK36" s="35"/>
      <c r="BL36" s="742"/>
      <c r="BM36" s="8"/>
      <c r="BN36" s="743"/>
      <c r="BO36" s="743"/>
      <c r="BP36" s="8"/>
      <c r="BQ36" s="9"/>
      <c r="BR36" s="28"/>
      <c r="BS36" s="28"/>
      <c r="BT36" s="28"/>
      <c r="BU36" s="744"/>
      <c r="BV36" s="745"/>
      <c r="BW36" s="746"/>
      <c r="BY36" s="1"/>
    </row>
    <row r="37" spans="1:77" x14ac:dyDescent="0.3">
      <c r="A37" s="6"/>
      <c r="C37" s="718"/>
      <c r="D37" s="687"/>
      <c r="E37" s="687"/>
      <c r="F37" s="11"/>
      <c r="G37" s="1"/>
      <c r="H37" s="1"/>
      <c r="I37" s="1"/>
      <c r="J37" s="1"/>
      <c r="K37" s="1"/>
      <c r="L37" s="719"/>
      <c r="M37" s="1"/>
      <c r="N37" s="8"/>
      <c r="O37" s="747"/>
      <c r="P37" s="753"/>
      <c r="Q37" s="24"/>
      <c r="R37" s="24"/>
      <c r="S37" s="749"/>
      <c r="T37" s="750"/>
      <c r="U37" s="751"/>
      <c r="V37" s="725"/>
      <c r="W37" s="752"/>
      <c r="X37" s="752"/>
      <c r="Y37" s="752"/>
      <c r="Z37" s="752"/>
      <c r="AA37" s="727"/>
      <c r="AB37" s="20"/>
      <c r="AC37" s="728"/>
      <c r="AE37" s="729"/>
      <c r="AF37" s="730"/>
      <c r="AG37" s="730"/>
      <c r="AH37" s="731"/>
      <c r="AI37" s="731"/>
      <c r="AJ37" s="731"/>
      <c r="AK37" s="732"/>
      <c r="AL37" s="732"/>
      <c r="AM37" s="731"/>
      <c r="AN37" s="731"/>
      <c r="AO37" s="732"/>
      <c r="AP37" s="24"/>
      <c r="AQ37" s="731"/>
      <c r="AR37" s="734"/>
      <c r="AS37" s="8"/>
      <c r="AT37" s="735"/>
      <c r="AU37" s="736"/>
      <c r="AV37" s="508"/>
      <c r="AW37" s="508"/>
      <c r="AX37" s="508"/>
      <c r="AY37" s="13"/>
      <c r="AZ37" s="737"/>
      <c r="BA37" s="738"/>
      <c r="BB37" s="737"/>
      <c r="BC37" s="739"/>
      <c r="BD37" s="4"/>
      <c r="BE37" s="740"/>
      <c r="BF37" s="740"/>
      <c r="BG37" s="20"/>
      <c r="BH37" s="28"/>
      <c r="BI37" s="741"/>
      <c r="BJ37" s="28"/>
      <c r="BK37" s="35"/>
      <c r="BL37" s="742"/>
      <c r="BM37" s="8"/>
      <c r="BN37" s="753"/>
      <c r="BO37" s="753"/>
      <c r="BP37" s="20"/>
      <c r="BQ37" s="24"/>
      <c r="BR37" s="28"/>
      <c r="BS37" s="28"/>
      <c r="BT37" s="28"/>
      <c r="BU37" s="744"/>
      <c r="BV37" s="745"/>
      <c r="BW37" s="746"/>
      <c r="BY37" s="1"/>
    </row>
    <row r="38" spans="1:77" x14ac:dyDescent="0.3">
      <c r="A38" s="6"/>
      <c r="C38" s="718"/>
      <c r="D38" s="687"/>
      <c r="E38" s="687"/>
      <c r="F38" s="11"/>
      <c r="G38" s="1"/>
      <c r="H38" s="1"/>
      <c r="I38" s="1"/>
      <c r="J38" s="1"/>
      <c r="K38" s="1"/>
      <c r="L38" s="719"/>
      <c r="M38" s="1"/>
      <c r="N38" s="8"/>
      <c r="O38" s="747"/>
      <c r="P38" s="748"/>
      <c r="Q38" s="24"/>
      <c r="R38" s="24"/>
      <c r="S38" s="749"/>
      <c r="T38" s="750"/>
      <c r="U38" s="751"/>
      <c r="V38" s="725"/>
      <c r="W38" s="752"/>
      <c r="X38" s="752"/>
      <c r="Y38" s="752"/>
      <c r="Z38" s="752"/>
      <c r="AA38" s="727"/>
      <c r="AB38" s="20"/>
      <c r="AC38" s="728"/>
      <c r="AE38" s="729"/>
      <c r="AF38" s="730"/>
      <c r="AG38" s="730"/>
      <c r="AH38" s="731"/>
      <c r="AI38" s="731"/>
      <c r="AJ38" s="731"/>
      <c r="AK38" s="732"/>
      <c r="AL38" s="732"/>
      <c r="AM38" s="731"/>
      <c r="AN38" s="731"/>
      <c r="AO38" s="732"/>
      <c r="AP38" s="24"/>
      <c r="AQ38" s="731"/>
      <c r="AR38" s="734"/>
      <c r="AS38" s="8"/>
      <c r="AT38" s="735"/>
      <c r="AU38" s="736"/>
      <c r="AV38" s="508"/>
      <c r="AW38" s="508"/>
      <c r="AX38" s="508"/>
      <c r="AY38" s="13"/>
      <c r="AZ38" s="737"/>
      <c r="BA38" s="738"/>
      <c r="BB38" s="737"/>
      <c r="BC38" s="739"/>
      <c r="BD38" s="4"/>
      <c r="BE38" s="740"/>
      <c r="BF38" s="740"/>
      <c r="BG38" s="20"/>
      <c r="BH38" s="28"/>
      <c r="BI38" s="741"/>
      <c r="BJ38" s="28"/>
      <c r="BK38" s="35"/>
      <c r="BL38" s="742"/>
      <c r="BM38" s="8"/>
      <c r="BN38" s="753"/>
      <c r="BO38" s="753"/>
      <c r="BP38" s="20"/>
      <c r="BQ38" s="24"/>
      <c r="BR38" s="28"/>
      <c r="BS38" s="28"/>
      <c r="BT38" s="28"/>
      <c r="BU38" s="744"/>
      <c r="BV38" s="745"/>
      <c r="BW38" s="746"/>
      <c r="BY38" s="1"/>
    </row>
    <row r="39" spans="1:77" x14ac:dyDescent="0.3">
      <c r="A39" s="6"/>
      <c r="C39" s="718"/>
      <c r="D39" s="687"/>
      <c r="E39" s="687"/>
      <c r="F39" s="11"/>
      <c r="G39" s="1"/>
      <c r="H39" s="1"/>
      <c r="I39" s="1"/>
      <c r="J39" s="1"/>
      <c r="K39" s="1"/>
      <c r="L39" s="719"/>
      <c r="M39" s="1"/>
      <c r="N39" s="8"/>
      <c r="O39" s="720"/>
      <c r="P39" s="756"/>
      <c r="Q39" s="757"/>
      <c r="R39" s="24"/>
      <c r="S39" s="722"/>
      <c r="T39" s="723"/>
      <c r="U39" s="724"/>
      <c r="V39" s="725"/>
      <c r="W39" s="726"/>
      <c r="X39" s="726"/>
      <c r="Y39" s="726"/>
      <c r="Z39" s="726"/>
      <c r="AA39" s="727"/>
      <c r="AB39" s="20"/>
      <c r="AC39" s="728"/>
      <c r="AE39" s="729"/>
      <c r="AF39" s="730"/>
      <c r="AG39" s="730"/>
      <c r="AH39" s="731"/>
      <c r="AI39" s="731"/>
      <c r="AJ39" s="731"/>
      <c r="AK39" s="732"/>
      <c r="AL39" s="732"/>
      <c r="AM39" s="731"/>
      <c r="AN39" s="731"/>
      <c r="AO39" s="732"/>
      <c r="AP39" s="24"/>
      <c r="AQ39" s="731"/>
      <c r="AR39" s="734"/>
      <c r="AS39" s="8"/>
      <c r="AT39" s="735"/>
      <c r="AU39" s="736"/>
      <c r="AV39" s="508"/>
      <c r="AW39" s="508"/>
      <c r="AX39" s="508"/>
      <c r="AY39" s="13"/>
      <c r="AZ39" s="737"/>
      <c r="BA39" s="738"/>
      <c r="BB39" s="737"/>
      <c r="BC39" s="739"/>
      <c r="BD39" s="4"/>
      <c r="BE39" s="740"/>
      <c r="BF39" s="740"/>
      <c r="BG39" s="20"/>
      <c r="BH39" s="28"/>
      <c r="BI39" s="741"/>
      <c r="BJ39" s="28"/>
      <c r="BK39" s="35"/>
      <c r="BL39" s="742"/>
      <c r="BM39" s="8"/>
      <c r="BN39" s="753"/>
      <c r="BO39" s="753"/>
      <c r="BP39" s="20"/>
      <c r="BQ39" s="24"/>
      <c r="BR39" s="28"/>
      <c r="BS39" s="28"/>
      <c r="BT39" s="28"/>
      <c r="BU39" s="744"/>
      <c r="BV39" s="745"/>
      <c r="BW39" s="746"/>
      <c r="BY39" s="1"/>
    </row>
    <row r="40" spans="1:77" x14ac:dyDescent="0.3">
      <c r="O40" s="758"/>
      <c r="P40" s="544"/>
      <c r="Q40" s="545"/>
      <c r="R40" s="545"/>
      <c r="S40" s="544"/>
      <c r="T40" s="545"/>
      <c r="U40" s="545"/>
      <c r="V40" s="545"/>
      <c r="W40" s="545"/>
      <c r="X40" s="545"/>
      <c r="Y40" s="545"/>
      <c r="Z40" s="545"/>
      <c r="AA40" s="545"/>
      <c r="AB40" s="545"/>
      <c r="AC40" s="543"/>
      <c r="AE40" s="544"/>
      <c r="AF40" s="545"/>
      <c r="AG40" s="545"/>
      <c r="AH40" s="545"/>
      <c r="AI40" s="545"/>
      <c r="AJ40" s="545"/>
      <c r="AK40" s="545"/>
      <c r="AL40" s="545"/>
      <c r="AM40" s="545"/>
      <c r="AN40" s="545"/>
      <c r="AO40" s="545"/>
      <c r="AP40" s="545"/>
      <c r="AQ40" s="545"/>
      <c r="AR40" s="543"/>
      <c r="AT40" s="544"/>
      <c r="AU40" s="545"/>
      <c r="AV40" s="545"/>
      <c r="AW40" s="545"/>
      <c r="AX40" s="545"/>
      <c r="AY40" s="545"/>
      <c r="AZ40" s="545"/>
      <c r="BA40" s="543"/>
      <c r="BC40" s="544"/>
      <c r="BD40" s="545"/>
      <c r="BE40" s="545"/>
      <c r="BF40" s="545"/>
      <c r="BG40" s="545"/>
      <c r="BH40" s="545"/>
      <c r="BI40" s="545"/>
      <c r="BJ40" s="545"/>
      <c r="BK40" s="545"/>
      <c r="BL40" s="543"/>
      <c r="BN40" s="759"/>
      <c r="BO40" s="759"/>
      <c r="BP40" s="760"/>
      <c r="BQ40" s="760"/>
      <c r="BR40" s="545"/>
      <c r="BS40" s="545"/>
      <c r="BT40" s="482"/>
      <c r="BU40" s="543"/>
      <c r="BV40" s="758"/>
    </row>
    <row r="42" spans="1:77" x14ac:dyDescent="0.3">
      <c r="AR42" s="761"/>
    </row>
    <row r="44" spans="1:77" x14ac:dyDescent="0.3">
      <c r="AQ44" s="740"/>
    </row>
    <row r="45" spans="1:77" x14ac:dyDescent="0.3">
      <c r="AQ45" s="740"/>
    </row>
  </sheetData>
  <mergeCells count="11">
    <mergeCell ref="I8:L8"/>
    <mergeCell ref="AE7:AR7"/>
    <mergeCell ref="AT7:BA7"/>
    <mergeCell ref="S7:AC7"/>
    <mergeCell ref="O7:O8"/>
    <mergeCell ref="BN7:BV7"/>
    <mergeCell ref="AT2:BA2"/>
    <mergeCell ref="BC2:BL2"/>
    <mergeCell ref="P7:R7"/>
    <mergeCell ref="BC7:BL7"/>
    <mergeCell ref="AZ3:BA3"/>
  </mergeCells>
  <phoneticPr fontId="25"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4" tint="0.59999389629810485"/>
  </sheetPr>
  <dimension ref="A1:DN148"/>
  <sheetViews>
    <sheetView zoomScale="80" zoomScaleNormal="80" workbookViewId="0">
      <selection activeCell="G48" sqref="G48"/>
    </sheetView>
  </sheetViews>
  <sheetFormatPr defaultRowHeight="14.4" outlineLevelRow="1" x14ac:dyDescent="0.3"/>
  <cols>
    <col min="1" max="1" width="8.6640625" customWidth="1"/>
    <col min="2" max="2" width="41.33203125" customWidth="1"/>
    <col min="3" max="23" width="11.88671875" customWidth="1"/>
    <col min="24" max="36" width="5" bestFit="1" customWidth="1"/>
    <col min="42" max="42" width="26" customWidth="1"/>
    <col min="65" max="65" width="11" customWidth="1"/>
    <col min="82" max="82" width="16.109375" bestFit="1" customWidth="1"/>
  </cols>
  <sheetData>
    <row r="1" spans="1:118" ht="21" x14ac:dyDescent="0.4">
      <c r="A1" s="959" t="s">
        <v>626</v>
      </c>
      <c r="B1" s="959"/>
      <c r="C1" s="959"/>
      <c r="D1" s="959"/>
      <c r="E1" s="959"/>
      <c r="F1" s="959"/>
      <c r="G1" s="959"/>
      <c r="H1" s="959"/>
      <c r="I1" s="959"/>
      <c r="J1" s="959"/>
      <c r="K1" s="959"/>
      <c r="L1" s="959"/>
      <c r="M1" s="959"/>
      <c r="N1" s="959"/>
      <c r="O1" s="959"/>
      <c r="P1" s="959"/>
      <c r="Q1" s="959"/>
      <c r="R1" s="959"/>
      <c r="S1" s="959"/>
      <c r="T1" s="959"/>
      <c r="U1" s="959"/>
      <c r="V1" s="959"/>
      <c r="W1" s="959"/>
    </row>
    <row r="2" spans="1:118" ht="17.399999999999999" x14ac:dyDescent="0.35">
      <c r="B2" s="344" t="s">
        <v>571</v>
      </c>
      <c r="C2" s="344"/>
      <c r="D2" s="344"/>
      <c r="E2" s="344"/>
      <c r="F2" s="344"/>
      <c r="G2" s="344"/>
      <c r="H2" s="344"/>
      <c r="I2" s="344"/>
      <c r="J2" s="344"/>
      <c r="K2" s="344"/>
      <c r="L2" s="344"/>
      <c r="M2" s="344"/>
      <c r="N2" s="344"/>
      <c r="O2" s="344"/>
      <c r="P2" s="344"/>
      <c r="Q2" s="344"/>
      <c r="R2" s="344"/>
      <c r="S2" s="344"/>
      <c r="T2" s="344"/>
      <c r="U2" s="344"/>
      <c r="V2" s="344"/>
      <c r="W2" s="344"/>
    </row>
    <row r="3" spans="1:118" x14ac:dyDescent="0.3">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row>
    <row r="4" spans="1:118" x14ac:dyDescent="0.3">
      <c r="B4" s="25" t="s">
        <v>569</v>
      </c>
      <c r="C4" s="26" t="s">
        <v>595</v>
      </c>
      <c r="D4" s="33"/>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row>
    <row r="5" spans="1:118" x14ac:dyDescent="0.3">
      <c r="A5" s="6"/>
      <c r="B5" s="25" t="s">
        <v>570</v>
      </c>
      <c r="C5" s="280" t="s">
        <v>596</v>
      </c>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row>
    <row r="6" spans="1:118" x14ac:dyDescent="0.3">
      <c r="A6" s="6"/>
      <c r="B6" s="6"/>
      <c r="C6" s="29"/>
      <c r="D6" s="29"/>
      <c r="E6" s="29"/>
      <c r="F6" s="29"/>
      <c r="G6" s="29"/>
      <c r="H6" s="29"/>
      <c r="I6" s="29"/>
      <c r="J6" s="29"/>
      <c r="K6" s="29"/>
      <c r="L6" s="6"/>
      <c r="M6" s="6"/>
      <c r="N6" s="6"/>
      <c r="O6" s="6"/>
      <c r="P6" s="6"/>
      <c r="Q6" s="6"/>
      <c r="R6" s="6"/>
      <c r="S6" s="6"/>
      <c r="T6" s="6"/>
      <c r="U6" s="6"/>
      <c r="V6" s="6"/>
      <c r="W6" s="6"/>
      <c r="X6" s="6"/>
      <c r="Y6" s="6"/>
      <c r="Z6" s="6"/>
      <c r="AA6" s="6"/>
    </row>
    <row r="7" spans="1:118" x14ac:dyDescent="0.3">
      <c r="A7" s="6"/>
      <c r="B7" s="32"/>
    </row>
    <row r="8" spans="1:118" ht="15" thickBot="1" x14ac:dyDescent="0.35">
      <c r="B8" s="364"/>
      <c r="C8" s="365">
        <v>2027</v>
      </c>
      <c r="D8" s="365">
        <f t="shared" ref="D8:V8" si="0">C8+1</f>
        <v>2028</v>
      </c>
      <c r="E8" s="365">
        <f t="shared" si="0"/>
        <v>2029</v>
      </c>
      <c r="F8" s="365">
        <f t="shared" si="0"/>
        <v>2030</v>
      </c>
      <c r="G8" s="365">
        <f t="shared" si="0"/>
        <v>2031</v>
      </c>
      <c r="H8" s="365">
        <f t="shared" si="0"/>
        <v>2032</v>
      </c>
      <c r="I8" s="365">
        <f t="shared" si="0"/>
        <v>2033</v>
      </c>
      <c r="J8" s="365">
        <f t="shared" si="0"/>
        <v>2034</v>
      </c>
      <c r="K8" s="365">
        <f t="shared" si="0"/>
        <v>2035</v>
      </c>
      <c r="L8" s="365">
        <f t="shared" si="0"/>
        <v>2036</v>
      </c>
      <c r="M8" s="365">
        <f t="shared" si="0"/>
        <v>2037</v>
      </c>
      <c r="N8" s="365">
        <f t="shared" si="0"/>
        <v>2038</v>
      </c>
      <c r="O8" s="365">
        <f t="shared" si="0"/>
        <v>2039</v>
      </c>
      <c r="P8" s="365">
        <f t="shared" si="0"/>
        <v>2040</v>
      </c>
      <c r="Q8" s="365">
        <f t="shared" si="0"/>
        <v>2041</v>
      </c>
      <c r="R8" s="365">
        <f t="shared" si="0"/>
        <v>2042</v>
      </c>
      <c r="S8" s="365">
        <f t="shared" si="0"/>
        <v>2043</v>
      </c>
      <c r="T8" s="365">
        <f t="shared" si="0"/>
        <v>2044</v>
      </c>
      <c r="U8" s="365">
        <f t="shared" si="0"/>
        <v>2045</v>
      </c>
      <c r="V8" s="365">
        <f t="shared" si="0"/>
        <v>2046</v>
      </c>
      <c r="W8" s="366">
        <v>2047</v>
      </c>
      <c r="X8" s="2"/>
      <c r="Y8" s="2"/>
      <c r="Z8" s="2"/>
      <c r="AA8" s="2"/>
      <c r="AB8" s="2"/>
      <c r="AC8" s="2"/>
      <c r="AD8" s="2"/>
      <c r="AE8" s="2"/>
      <c r="AF8" s="2"/>
      <c r="AG8" s="2"/>
      <c r="AH8" s="2"/>
      <c r="AI8" s="2"/>
      <c r="AJ8" s="2"/>
    </row>
    <row r="9" spans="1:118" ht="15.6" x14ac:dyDescent="0.3">
      <c r="A9" s="377"/>
      <c r="B9" s="347" t="s">
        <v>486</v>
      </c>
      <c r="C9" s="346">
        <v>330</v>
      </c>
      <c r="D9" s="346">
        <v>325</v>
      </c>
      <c r="E9" s="346">
        <v>397</v>
      </c>
      <c r="F9" s="346">
        <v>504</v>
      </c>
      <c r="G9" s="346">
        <v>517</v>
      </c>
      <c r="H9" s="346">
        <v>531</v>
      </c>
      <c r="I9" s="346">
        <v>545</v>
      </c>
      <c r="J9" s="346">
        <v>559</v>
      </c>
      <c r="K9" s="346">
        <v>574</v>
      </c>
      <c r="L9" s="346">
        <v>589</v>
      </c>
      <c r="M9" s="346">
        <v>605</v>
      </c>
      <c r="N9" s="346">
        <v>621</v>
      </c>
      <c r="O9" s="346">
        <v>637</v>
      </c>
      <c r="P9" s="346">
        <v>654</v>
      </c>
      <c r="Q9" s="346">
        <v>671</v>
      </c>
      <c r="R9" s="346">
        <v>689</v>
      </c>
      <c r="S9" s="346">
        <v>707</v>
      </c>
      <c r="T9" s="346">
        <v>726</v>
      </c>
      <c r="U9" s="346">
        <v>745</v>
      </c>
      <c r="V9" s="346">
        <v>764</v>
      </c>
      <c r="W9" s="348">
        <v>785</v>
      </c>
      <c r="X9" s="196"/>
      <c r="Y9" s="196"/>
      <c r="Z9" s="196"/>
      <c r="AA9" s="196"/>
      <c r="AB9" s="196"/>
      <c r="AC9" s="196"/>
      <c r="AD9" s="196"/>
      <c r="AE9" s="196"/>
      <c r="AF9" s="196"/>
      <c r="AG9" s="196"/>
      <c r="AH9" s="196"/>
      <c r="AI9" s="196"/>
      <c r="AJ9" s="196"/>
      <c r="AK9" s="33"/>
      <c r="AL9" s="33"/>
      <c r="AM9" s="33"/>
      <c r="AN9" s="33"/>
      <c r="AO9" s="33"/>
      <c r="AP9" s="33"/>
      <c r="AQ9" s="33"/>
      <c r="AR9" s="33"/>
      <c r="AS9" s="33"/>
      <c r="AT9" s="33"/>
    </row>
    <row r="10" spans="1:118" x14ac:dyDescent="0.3">
      <c r="A10" s="377"/>
      <c r="B10" s="2"/>
      <c r="W10" s="196"/>
      <c r="X10" s="196"/>
      <c r="Y10" s="196"/>
      <c r="Z10" s="196"/>
      <c r="AA10" s="196"/>
      <c r="AB10" s="196"/>
      <c r="AC10" s="196"/>
      <c r="AD10" s="196"/>
      <c r="AE10" s="196"/>
      <c r="AF10" s="196"/>
      <c r="AG10" s="196"/>
      <c r="AH10" s="196"/>
      <c r="AI10" s="196"/>
      <c r="AJ10" s="196"/>
      <c r="AK10" s="33"/>
      <c r="AL10" s="33"/>
      <c r="AM10" s="33"/>
      <c r="AN10" s="33"/>
      <c r="AO10" s="33"/>
      <c r="AP10" s="33"/>
      <c r="AQ10" s="33"/>
      <c r="AR10" s="33"/>
      <c r="AS10" s="33"/>
      <c r="AT10" s="33"/>
    </row>
    <row r="11" spans="1:118" ht="23.4" x14ac:dyDescent="0.45">
      <c r="A11" s="377"/>
      <c r="B11" s="2"/>
      <c r="C11" s="197"/>
      <c r="D11" s="197"/>
      <c r="E11" s="197"/>
      <c r="F11" s="197"/>
      <c r="G11" s="197"/>
      <c r="H11" s="197"/>
      <c r="I11" s="197"/>
      <c r="J11" s="197"/>
      <c r="K11" s="197"/>
      <c r="L11" s="197"/>
      <c r="M11" s="197"/>
      <c r="N11" s="197"/>
      <c r="O11" s="197"/>
      <c r="P11" s="197"/>
      <c r="Q11" s="197"/>
      <c r="R11" s="197"/>
      <c r="S11" s="197"/>
      <c r="T11" s="196"/>
      <c r="U11" s="196"/>
      <c r="V11" s="196"/>
      <c r="W11" s="196"/>
      <c r="X11" s="196"/>
      <c r="Y11" s="196"/>
      <c r="Z11" s="196"/>
      <c r="AA11" s="196"/>
      <c r="AB11" s="196"/>
      <c r="AC11" s="196"/>
      <c r="AD11" s="196"/>
      <c r="AE11" s="196"/>
      <c r="AF11" s="196"/>
      <c r="AG11" s="196"/>
      <c r="AH11" s="196"/>
      <c r="AI11" s="196"/>
      <c r="AJ11" s="196"/>
      <c r="AK11" s="33"/>
      <c r="AL11" s="33"/>
      <c r="AM11" s="40"/>
      <c r="AN11" s="33"/>
      <c r="AO11" s="33"/>
      <c r="AP11" s="33"/>
      <c r="AQ11" s="33"/>
      <c r="AR11" s="33"/>
      <c r="AS11" s="33"/>
      <c r="AT11" s="33"/>
      <c r="CD11" s="40"/>
    </row>
    <row r="12" spans="1:118" ht="15.6" x14ac:dyDescent="0.3">
      <c r="A12" s="195"/>
      <c r="B12" s="345" t="s">
        <v>136</v>
      </c>
      <c r="C12" s="345"/>
      <c r="D12" s="345"/>
      <c r="E12" s="345"/>
      <c r="F12" s="345"/>
      <c r="G12" s="345"/>
      <c r="H12" s="345"/>
      <c r="I12" s="345"/>
      <c r="J12" s="345"/>
      <c r="K12" s="345"/>
      <c r="L12" s="345"/>
      <c r="M12" s="345"/>
      <c r="N12" s="345"/>
      <c r="O12" s="345"/>
      <c r="P12" s="345"/>
      <c r="Q12" s="345"/>
      <c r="R12" s="345"/>
      <c r="S12" s="345"/>
      <c r="T12" s="345"/>
      <c r="U12" s="345"/>
      <c r="V12" s="345"/>
      <c r="W12" s="345"/>
      <c r="AM12" s="2"/>
      <c r="CD12" s="2"/>
    </row>
    <row r="13" spans="1:118" x14ac:dyDescent="0.3">
      <c r="A13" s="195"/>
      <c r="B13" s="350" t="s">
        <v>137</v>
      </c>
      <c r="C13" s="349"/>
      <c r="D13" s="349"/>
      <c r="E13" s="349"/>
      <c r="F13" s="349"/>
      <c r="G13" s="349"/>
      <c r="H13" s="349"/>
      <c r="I13" s="349"/>
      <c r="J13" s="349"/>
      <c r="K13" s="349"/>
      <c r="L13" s="349"/>
      <c r="M13" s="349"/>
      <c r="N13" s="349"/>
      <c r="O13" s="349"/>
      <c r="P13" s="349"/>
      <c r="Q13" s="349"/>
      <c r="R13" s="349"/>
      <c r="S13" s="349"/>
      <c r="T13" s="349"/>
      <c r="U13" s="349"/>
      <c r="V13" s="349"/>
      <c r="W13" s="353"/>
      <c r="AM13" s="19"/>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CD13" s="19"/>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row>
    <row r="14" spans="1:118" x14ac:dyDescent="0.3">
      <c r="A14" s="195"/>
      <c r="B14" s="351">
        <v>0</v>
      </c>
      <c r="C14" s="367">
        <v>0</v>
      </c>
      <c r="D14" s="367">
        <v>0</v>
      </c>
      <c r="E14" s="367">
        <v>0</v>
      </c>
      <c r="F14" s="367">
        <v>0</v>
      </c>
      <c r="G14" s="367">
        <v>0</v>
      </c>
      <c r="H14" s="367">
        <v>0</v>
      </c>
      <c r="I14" s="367">
        <v>0</v>
      </c>
      <c r="J14" s="367">
        <v>0</v>
      </c>
      <c r="K14" s="367">
        <v>0</v>
      </c>
      <c r="L14" s="367">
        <v>0</v>
      </c>
      <c r="M14" s="367">
        <v>0</v>
      </c>
      <c r="N14" s="367">
        <v>0</v>
      </c>
      <c r="O14" s="367">
        <v>0</v>
      </c>
      <c r="P14" s="367">
        <v>0</v>
      </c>
      <c r="Q14" s="367">
        <v>0</v>
      </c>
      <c r="R14" s="367">
        <v>0</v>
      </c>
      <c r="S14" s="367">
        <v>0</v>
      </c>
      <c r="T14" s="367">
        <v>0</v>
      </c>
      <c r="U14" s="367">
        <v>0</v>
      </c>
      <c r="V14" s="367">
        <v>0</v>
      </c>
      <c r="W14" s="368"/>
      <c r="X14" s="219"/>
      <c r="Y14" s="219"/>
      <c r="Z14" s="219"/>
      <c r="AA14" s="219"/>
      <c r="AB14" s="219"/>
      <c r="AC14" s="219"/>
      <c r="AD14" s="219"/>
      <c r="AE14" s="219"/>
      <c r="AF14" s="219"/>
      <c r="AG14" s="219"/>
      <c r="AH14" s="219"/>
      <c r="AI14" s="219"/>
      <c r="AJ14" s="219"/>
      <c r="AK14" s="27"/>
      <c r="AL14" s="27"/>
      <c r="AM14" s="34"/>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CD14" s="34"/>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row>
    <row r="15" spans="1:118" x14ac:dyDescent="0.3">
      <c r="A15" s="195"/>
      <c r="B15" s="351">
        <v>2</v>
      </c>
      <c r="C15" s="367">
        <f t="shared" ref="C15:W15" si="1">C16/2</f>
        <v>0.27500000000000002</v>
      </c>
      <c r="D15" s="367">
        <f t="shared" si="1"/>
        <v>0.29499999999999998</v>
      </c>
      <c r="E15" s="367">
        <f t="shared" si="1"/>
        <v>0.27</v>
      </c>
      <c r="F15" s="367">
        <f t="shared" si="1"/>
        <v>0.23499999999999999</v>
      </c>
      <c r="G15" s="367">
        <f t="shared" si="1"/>
        <v>0.19500000000000001</v>
      </c>
      <c r="H15" s="367">
        <f t="shared" si="1"/>
        <v>0.16</v>
      </c>
      <c r="I15" s="367">
        <f t="shared" si="1"/>
        <v>0.15</v>
      </c>
      <c r="J15" s="367">
        <f t="shared" si="1"/>
        <v>0.14499999999999999</v>
      </c>
      <c r="K15" s="367">
        <f t="shared" si="1"/>
        <v>0.14000000000000001</v>
      </c>
      <c r="L15" s="367">
        <f t="shared" si="1"/>
        <v>0.13500000000000001</v>
      </c>
      <c r="M15" s="367">
        <f t="shared" si="1"/>
        <v>0.13</v>
      </c>
      <c r="N15" s="367">
        <f t="shared" si="1"/>
        <v>0.125</v>
      </c>
      <c r="O15" s="367">
        <f t="shared" si="1"/>
        <v>0.12</v>
      </c>
      <c r="P15" s="367">
        <f t="shared" si="1"/>
        <v>0.115</v>
      </c>
      <c r="Q15" s="367">
        <f t="shared" si="1"/>
        <v>0.11</v>
      </c>
      <c r="R15" s="367">
        <f t="shared" si="1"/>
        <v>0.105</v>
      </c>
      <c r="S15" s="367">
        <f t="shared" si="1"/>
        <v>0.1</v>
      </c>
      <c r="T15" s="367">
        <f t="shared" si="1"/>
        <v>9.5000000000000001E-2</v>
      </c>
      <c r="U15" s="367">
        <f t="shared" si="1"/>
        <v>0.09</v>
      </c>
      <c r="V15" s="367">
        <f t="shared" si="1"/>
        <v>8.5000000000000006E-2</v>
      </c>
      <c r="W15" s="368">
        <f t="shared" si="1"/>
        <v>0.08</v>
      </c>
      <c r="X15" s="219"/>
      <c r="Y15" s="219"/>
      <c r="Z15" s="219"/>
      <c r="AA15" s="219"/>
      <c r="AB15" s="219"/>
      <c r="AC15" s="219"/>
      <c r="AD15" s="219"/>
      <c r="AE15" s="219"/>
      <c r="AF15" s="219"/>
      <c r="AG15" s="219"/>
      <c r="AH15" s="219"/>
      <c r="AI15" s="219"/>
      <c r="AJ15" s="219"/>
      <c r="AK15" s="27"/>
      <c r="AL15" s="27"/>
      <c r="AM15" s="34"/>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CD15" s="34"/>
      <c r="CE15" s="39"/>
      <c r="CF15" s="39"/>
      <c r="CG15" s="39"/>
      <c r="CH15" s="39"/>
      <c r="CI15" s="39"/>
      <c r="CJ15" s="39"/>
      <c r="CK15" s="39"/>
      <c r="CL15" s="39"/>
      <c r="CM15" s="39"/>
      <c r="CN15" s="39"/>
      <c r="CO15" s="39"/>
      <c r="CP15" s="39"/>
      <c r="CQ15" s="39"/>
      <c r="CR15" s="39"/>
      <c r="CS15" s="39"/>
      <c r="CT15" s="39"/>
      <c r="CU15" s="39"/>
      <c r="CV15" s="39"/>
      <c r="CW15" s="39"/>
      <c r="CX15" s="39"/>
      <c r="CY15" s="39"/>
      <c r="CZ15" s="39"/>
      <c r="DA15" s="39"/>
      <c r="DB15" s="39"/>
      <c r="DC15" s="39"/>
      <c r="DD15" s="39"/>
      <c r="DE15" s="39"/>
      <c r="DF15" s="39"/>
      <c r="DG15" s="39"/>
      <c r="DH15" s="39"/>
      <c r="DI15" s="39"/>
      <c r="DJ15" s="39"/>
      <c r="DK15" s="39"/>
      <c r="DL15" s="39"/>
      <c r="DM15" s="39"/>
      <c r="DN15" s="39"/>
    </row>
    <row r="16" spans="1:118" x14ac:dyDescent="0.3">
      <c r="A16" s="195"/>
      <c r="B16" s="352">
        <v>4</v>
      </c>
      <c r="C16" s="369">
        <v>0.55000000000000004</v>
      </c>
      <c r="D16" s="369">
        <v>0.59</v>
      </c>
      <c r="E16" s="369">
        <v>0.54</v>
      </c>
      <c r="F16" s="369">
        <v>0.47</v>
      </c>
      <c r="G16" s="369">
        <v>0.39</v>
      </c>
      <c r="H16" s="369">
        <v>0.32</v>
      </c>
      <c r="I16" s="369">
        <v>0.3</v>
      </c>
      <c r="J16" s="369">
        <v>0.28999999999999998</v>
      </c>
      <c r="K16" s="369">
        <v>0.28000000000000003</v>
      </c>
      <c r="L16" s="369">
        <v>0.27</v>
      </c>
      <c r="M16" s="369">
        <v>0.26</v>
      </c>
      <c r="N16" s="369">
        <v>0.25</v>
      </c>
      <c r="O16" s="369">
        <v>0.24</v>
      </c>
      <c r="P16" s="369">
        <v>0.23</v>
      </c>
      <c r="Q16" s="369">
        <v>0.22</v>
      </c>
      <c r="R16" s="369">
        <v>0.21</v>
      </c>
      <c r="S16" s="369">
        <v>0.2</v>
      </c>
      <c r="T16" s="369">
        <v>0.19</v>
      </c>
      <c r="U16" s="369">
        <v>0.18</v>
      </c>
      <c r="V16" s="369">
        <v>0.17</v>
      </c>
      <c r="W16" s="370">
        <v>0.16</v>
      </c>
      <c r="X16" s="219"/>
      <c r="Y16" s="219"/>
      <c r="Z16" s="219"/>
      <c r="AA16" s="219"/>
      <c r="AB16" s="219"/>
      <c r="AC16" s="219"/>
      <c r="AD16" s="219"/>
      <c r="AE16" s="219"/>
      <c r="AF16" s="219"/>
      <c r="AG16" s="219"/>
      <c r="AH16" s="219"/>
      <c r="AI16" s="219"/>
      <c r="AJ16" s="219"/>
      <c r="AK16" s="27"/>
      <c r="AL16" s="27"/>
      <c r="AM16" s="34"/>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CD16" s="34"/>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row>
    <row r="17" spans="1:118" x14ac:dyDescent="0.3">
      <c r="A17" s="195"/>
      <c r="B17" s="6"/>
      <c r="C17" s="29"/>
      <c r="D17" s="29"/>
      <c r="E17" s="29"/>
      <c r="F17" s="29"/>
      <c r="G17" s="29"/>
      <c r="H17" s="29"/>
      <c r="I17" s="29"/>
      <c r="J17" s="29"/>
      <c r="K17" s="29"/>
      <c r="L17" s="6"/>
      <c r="M17" s="6"/>
      <c r="N17" s="6"/>
      <c r="O17" s="6"/>
      <c r="P17" s="6"/>
      <c r="Q17" s="6"/>
      <c r="R17" s="6"/>
      <c r="S17" s="6"/>
      <c r="T17" s="6"/>
      <c r="U17" s="6"/>
      <c r="V17" s="6"/>
      <c r="W17" s="219"/>
      <c r="X17" s="219"/>
      <c r="Y17" s="219"/>
      <c r="Z17" s="219"/>
      <c r="AA17" s="219"/>
      <c r="AB17" s="219"/>
      <c r="AC17" s="219"/>
      <c r="AD17" s="219"/>
      <c r="AE17" s="219"/>
      <c r="AF17" s="219"/>
      <c r="AG17" s="219"/>
      <c r="AH17" s="219"/>
      <c r="AI17" s="219"/>
      <c r="AJ17" s="219"/>
      <c r="AK17" s="27"/>
      <c r="AL17" s="27"/>
      <c r="AM17" s="34"/>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CD17" s="34"/>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row>
    <row r="18" spans="1:118" ht="15.6" x14ac:dyDescent="0.3">
      <c r="A18" s="195"/>
      <c r="B18" s="345" t="s">
        <v>603</v>
      </c>
      <c r="C18" s="345"/>
      <c r="D18" s="345"/>
      <c r="E18" s="345"/>
      <c r="F18" s="345"/>
      <c r="G18" s="345"/>
      <c r="H18" s="345"/>
      <c r="I18" s="345"/>
      <c r="J18" s="345"/>
      <c r="K18" s="345"/>
      <c r="L18" s="345"/>
      <c r="M18" s="345"/>
      <c r="N18" s="345"/>
      <c r="O18" s="345"/>
      <c r="P18" s="345"/>
      <c r="Q18" s="345"/>
      <c r="R18" s="345"/>
      <c r="S18" s="345"/>
      <c r="T18" s="345"/>
      <c r="U18" s="345"/>
      <c r="V18" s="345"/>
      <c r="W18" s="345"/>
      <c r="AM18" s="2"/>
      <c r="CD18" s="2"/>
    </row>
    <row r="19" spans="1:118" x14ac:dyDescent="0.3">
      <c r="A19" s="195"/>
      <c r="B19" s="350" t="s">
        <v>137</v>
      </c>
      <c r="C19" s="349"/>
      <c r="D19" s="349"/>
      <c r="E19" s="349"/>
      <c r="F19" s="349"/>
      <c r="G19" s="349"/>
      <c r="H19" s="349"/>
      <c r="I19" s="349"/>
      <c r="J19" s="349"/>
      <c r="K19" s="349"/>
      <c r="L19" s="349"/>
      <c r="M19" s="349"/>
      <c r="N19" s="349"/>
      <c r="O19" s="349"/>
      <c r="P19" s="349"/>
      <c r="Q19" s="349"/>
      <c r="R19" s="349"/>
      <c r="S19" s="349"/>
      <c r="T19" s="349"/>
      <c r="U19" s="349"/>
      <c r="V19" s="349"/>
      <c r="W19" s="353"/>
      <c r="AM19" s="19"/>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CD19" s="19"/>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row>
    <row r="20" spans="1:118" x14ac:dyDescent="0.3">
      <c r="A20" s="195"/>
      <c r="B20" s="351">
        <v>0</v>
      </c>
      <c r="C20" s="371">
        <v>0</v>
      </c>
      <c r="D20" s="371">
        <v>0</v>
      </c>
      <c r="E20" s="371">
        <v>0</v>
      </c>
      <c r="F20" s="371">
        <v>0</v>
      </c>
      <c r="G20" s="371">
        <v>0</v>
      </c>
      <c r="H20" s="371">
        <v>0</v>
      </c>
      <c r="I20" s="371">
        <v>0</v>
      </c>
      <c r="J20" s="371">
        <v>0</v>
      </c>
      <c r="K20" s="371">
        <v>0</v>
      </c>
      <c r="L20" s="371">
        <v>0</v>
      </c>
      <c r="M20" s="371">
        <v>0</v>
      </c>
      <c r="N20" s="371">
        <v>0</v>
      </c>
      <c r="O20" s="371">
        <v>0</v>
      </c>
      <c r="P20" s="371">
        <v>0</v>
      </c>
      <c r="Q20" s="371">
        <v>0</v>
      </c>
      <c r="R20" s="371">
        <v>0</v>
      </c>
      <c r="S20" s="371">
        <v>0</v>
      </c>
      <c r="T20" s="371">
        <v>0</v>
      </c>
      <c r="U20" s="371">
        <v>0</v>
      </c>
      <c r="V20" s="371">
        <v>0</v>
      </c>
      <c r="W20" s="372"/>
      <c r="X20" s="337"/>
      <c r="Y20" s="337"/>
      <c r="Z20" s="337"/>
      <c r="AA20" s="337"/>
      <c r="AB20" s="337"/>
      <c r="AC20" s="337"/>
      <c r="AD20" s="337"/>
      <c r="AE20" s="337"/>
      <c r="AF20" s="337"/>
      <c r="AG20" s="337"/>
      <c r="AH20" s="337"/>
      <c r="AI20" s="337"/>
      <c r="AJ20" s="337"/>
      <c r="AK20" s="27"/>
      <c r="AL20" s="27"/>
      <c r="AM20" s="34"/>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CD20" s="34"/>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row>
    <row r="21" spans="1:118" x14ac:dyDescent="0.3">
      <c r="A21" s="195"/>
      <c r="B21" s="351">
        <v>2</v>
      </c>
      <c r="C21" s="373">
        <v>-7.6E-3</v>
      </c>
      <c r="D21" s="373">
        <v>-1.26E-2</v>
      </c>
      <c r="E21" s="373">
        <v>-1.8700000000000001E-2</v>
      </c>
      <c r="F21" s="373">
        <v>-3.0700000000000002E-2</v>
      </c>
      <c r="G21" s="373">
        <v>-3.44E-2</v>
      </c>
      <c r="H21" s="373">
        <v>-3.6999999999999998E-2</v>
      </c>
      <c r="I21" s="373">
        <v>-3.5299999999999998E-2</v>
      </c>
      <c r="J21" s="373">
        <v>-3.9199999999999999E-2</v>
      </c>
      <c r="K21" s="373">
        <v>-3.3300000000000003E-2</v>
      </c>
      <c r="L21" s="373">
        <v>-1.5699999999999999E-2</v>
      </c>
      <c r="M21" s="373">
        <v>-1.01E-2</v>
      </c>
      <c r="N21" s="373">
        <v>-8.0999999999999996E-3</v>
      </c>
      <c r="O21" s="373">
        <v>-7.3000000000000001E-3</v>
      </c>
      <c r="P21" s="373">
        <v>-7.4000000000000003E-3</v>
      </c>
      <c r="Q21" s="373">
        <v>-6.4999999999999997E-3</v>
      </c>
      <c r="R21" s="373">
        <v>-6.0000000000000001E-3</v>
      </c>
      <c r="S21" s="373">
        <v>-6.4999999999999997E-3</v>
      </c>
      <c r="T21" s="373">
        <v>-4.5999999999999999E-3</v>
      </c>
      <c r="U21" s="373">
        <v>-1.1999999999999999E-3</v>
      </c>
      <c r="V21" s="373">
        <v>-1.6000000000000001E-3</v>
      </c>
      <c r="W21" s="374">
        <v>-1.6000000000000001E-3</v>
      </c>
      <c r="X21" s="337"/>
      <c r="Y21" s="337"/>
      <c r="Z21" s="337"/>
      <c r="AA21" s="337"/>
      <c r="AB21" s="337"/>
      <c r="AC21" s="337"/>
      <c r="AD21" s="337"/>
      <c r="AE21" s="337"/>
      <c r="AF21" s="337"/>
      <c r="AG21" s="337"/>
      <c r="AH21" s="337"/>
      <c r="AI21" s="337"/>
      <c r="AJ21" s="337"/>
      <c r="AK21" s="27"/>
      <c r="AL21" s="27"/>
      <c r="AM21" s="34"/>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CD21" s="34"/>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row>
    <row r="22" spans="1:118" x14ac:dyDescent="0.3">
      <c r="A22" s="195"/>
      <c r="B22" s="352">
        <v>4</v>
      </c>
      <c r="C22" s="375">
        <v>-4.7999999999999996E-3</v>
      </c>
      <c r="D22" s="375">
        <v>-1.11E-2</v>
      </c>
      <c r="E22" s="375">
        <v>-1.46E-2</v>
      </c>
      <c r="F22" s="375">
        <v>-2.4199999999999999E-2</v>
      </c>
      <c r="G22" s="375">
        <v>-2.3800000000000002E-2</v>
      </c>
      <c r="H22" s="375">
        <v>-3.3399999999999999E-2</v>
      </c>
      <c r="I22" s="375">
        <v>-3.0800000000000001E-2</v>
      </c>
      <c r="J22" s="375">
        <v>-3.8300000000000001E-2</v>
      </c>
      <c r="K22" s="375">
        <v>-0.03</v>
      </c>
      <c r="L22" s="375">
        <v>-1.34E-2</v>
      </c>
      <c r="M22" s="375">
        <v>-8.8999999999999999E-3</v>
      </c>
      <c r="N22" s="375">
        <v>-6.3E-3</v>
      </c>
      <c r="O22" s="375">
        <v>-4.8999999999999998E-3</v>
      </c>
      <c r="P22" s="375">
        <v>-7.3000000000000001E-3</v>
      </c>
      <c r="Q22" s="375">
        <v>-5.3E-3</v>
      </c>
      <c r="R22" s="375">
        <v>-5.7999999999999996E-3</v>
      </c>
      <c r="S22" s="375">
        <v>-5.1000000000000004E-3</v>
      </c>
      <c r="T22" s="375">
        <v>-3.8E-3</v>
      </c>
      <c r="U22" s="375">
        <v>-1.1000000000000001E-3</v>
      </c>
      <c r="V22" s="375">
        <v>-1.1000000000000001E-3</v>
      </c>
      <c r="W22" s="376">
        <v>-1.1000000000000001E-3</v>
      </c>
      <c r="X22" s="337"/>
      <c r="Y22" s="337"/>
      <c r="Z22" s="337"/>
      <c r="AA22" s="337"/>
      <c r="AB22" s="337"/>
      <c r="AC22" s="337"/>
      <c r="AD22" s="337"/>
      <c r="AE22" s="337"/>
      <c r="AF22" s="337"/>
      <c r="AG22" s="337"/>
      <c r="AH22" s="337"/>
      <c r="AI22" s="337"/>
      <c r="AJ22" s="337"/>
      <c r="AK22" s="27"/>
      <c r="AL22" s="27"/>
      <c r="AM22" s="34"/>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CD22" s="34"/>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row>
    <row r="23" spans="1:118" x14ac:dyDescent="0.3">
      <c r="A23" s="195"/>
      <c r="B23" s="6"/>
      <c r="C23" s="29"/>
      <c r="D23" s="29"/>
      <c r="E23" s="29"/>
      <c r="F23" s="29"/>
      <c r="G23" s="29"/>
      <c r="H23" s="29"/>
      <c r="I23" s="29"/>
      <c r="J23" s="29"/>
      <c r="K23" s="29"/>
      <c r="L23" s="6"/>
      <c r="M23" s="6"/>
      <c r="N23" s="6"/>
      <c r="O23" s="6"/>
      <c r="P23" s="6"/>
      <c r="Q23" s="6"/>
      <c r="R23" s="6"/>
      <c r="S23" s="6"/>
      <c r="T23" s="6"/>
      <c r="U23" s="6"/>
      <c r="V23" s="6"/>
      <c r="W23" s="337"/>
      <c r="X23" s="337"/>
      <c r="Y23" s="337"/>
      <c r="Z23" s="337"/>
      <c r="AA23" s="337"/>
      <c r="AB23" s="337"/>
      <c r="AC23" s="337"/>
      <c r="AD23" s="337"/>
      <c r="AE23" s="337"/>
      <c r="AF23" s="337"/>
      <c r="AG23" s="337"/>
      <c r="AH23" s="337"/>
      <c r="AI23" s="337"/>
      <c r="AJ23" s="337"/>
      <c r="AK23" s="27"/>
      <c r="AL23" s="27"/>
      <c r="AM23" s="34"/>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CD23" s="34"/>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row>
    <row r="24" spans="1:118" x14ac:dyDescent="0.3">
      <c r="A24" s="195"/>
      <c r="B24" s="6"/>
      <c r="C24" s="29"/>
      <c r="D24" s="29"/>
      <c r="E24" s="29"/>
      <c r="F24" s="29"/>
      <c r="G24" s="29"/>
      <c r="H24" s="29"/>
      <c r="I24" s="29"/>
      <c r="J24" s="29"/>
      <c r="K24" s="29"/>
      <c r="L24" s="6"/>
      <c r="M24" s="6"/>
      <c r="N24" s="6"/>
      <c r="O24" s="6"/>
      <c r="P24" s="6"/>
      <c r="Q24" s="6"/>
      <c r="R24" s="6"/>
      <c r="S24" s="6"/>
      <c r="T24" s="6"/>
      <c r="U24" s="6"/>
      <c r="V24" s="6"/>
      <c r="W24" s="219"/>
      <c r="X24" s="219"/>
      <c r="Y24" s="219"/>
      <c r="Z24" s="219"/>
      <c r="AA24" s="219"/>
      <c r="AB24" s="219"/>
      <c r="AC24" s="219"/>
      <c r="AD24" s="219"/>
      <c r="AE24" s="219"/>
      <c r="AF24" s="219"/>
      <c r="AG24" s="219"/>
      <c r="AH24" s="219"/>
      <c r="AI24" s="219"/>
      <c r="AJ24" s="219"/>
      <c r="AK24" s="27"/>
      <c r="AL24" s="27"/>
      <c r="AM24" s="34"/>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CD24" s="34"/>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row>
    <row r="25" spans="1:118" x14ac:dyDescent="0.3">
      <c r="A25" s="195"/>
      <c r="C25" s="218"/>
      <c r="D25" s="218"/>
      <c r="E25" s="218"/>
      <c r="F25" s="218"/>
      <c r="G25" s="218"/>
      <c r="H25" s="218"/>
      <c r="I25" s="218"/>
      <c r="J25" s="218"/>
      <c r="K25" s="218"/>
      <c r="W25" s="219"/>
      <c r="X25" s="219"/>
      <c r="Y25" s="219"/>
      <c r="Z25" s="219"/>
      <c r="AA25" s="219"/>
      <c r="AB25" s="219"/>
      <c r="AC25" s="219"/>
      <c r="AD25" s="219"/>
      <c r="AE25" s="219"/>
      <c r="AF25" s="219"/>
      <c r="AG25" s="219"/>
      <c r="AH25" s="219"/>
      <c r="AI25" s="219"/>
      <c r="AJ25" s="219"/>
      <c r="AK25" s="27"/>
      <c r="AL25" s="27"/>
      <c r="AM25" s="34"/>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CD25" s="34"/>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row>
    <row r="26" spans="1:118" x14ac:dyDescent="0.3">
      <c r="A26" s="195"/>
      <c r="B26" s="357" t="s">
        <v>475</v>
      </c>
      <c r="C26" s="355">
        <f t="shared" ref="C26:W26" si="2">2*C15*C9*365*(1+C21)</f>
        <v>65744.019000000015</v>
      </c>
      <c r="D26" s="355">
        <f t="shared" si="2"/>
        <v>69106.89175000001</v>
      </c>
      <c r="E26" s="355">
        <f t="shared" si="2"/>
        <v>76785.449310000011</v>
      </c>
      <c r="F26" s="355">
        <f t="shared" si="2"/>
        <v>83806.841159999996</v>
      </c>
      <c r="G26" s="355">
        <f t="shared" si="2"/>
        <v>71063.283719999992</v>
      </c>
      <c r="H26" s="355">
        <f t="shared" si="2"/>
        <v>59726.030400000003</v>
      </c>
      <c r="I26" s="355">
        <f t="shared" si="2"/>
        <v>57570.884250000003</v>
      </c>
      <c r="J26" s="355">
        <f t="shared" si="2"/>
        <v>56850.680119999997</v>
      </c>
      <c r="K26" s="355">
        <f t="shared" si="2"/>
        <v>56709.328760000011</v>
      </c>
      <c r="L26" s="355">
        <f t="shared" si="2"/>
        <v>57134.628584999991</v>
      </c>
      <c r="M26" s="355">
        <f t="shared" si="2"/>
        <v>56834.613550000009</v>
      </c>
      <c r="N26" s="355">
        <f t="shared" si="2"/>
        <v>56207.253375</v>
      </c>
      <c r="O26" s="355">
        <f t="shared" si="2"/>
        <v>55393.851239999996</v>
      </c>
      <c r="P26" s="355">
        <f t="shared" si="2"/>
        <v>54497.015580000007</v>
      </c>
      <c r="Q26" s="355">
        <f t="shared" si="2"/>
        <v>53531.071550000008</v>
      </c>
      <c r="R26" s="355">
        <f t="shared" si="2"/>
        <v>52494.978900000002</v>
      </c>
      <c r="S26" s="355">
        <f t="shared" si="2"/>
        <v>51275.5285</v>
      </c>
      <c r="T26" s="355">
        <f t="shared" si="2"/>
        <v>50116.498739999995</v>
      </c>
      <c r="U26" s="355">
        <f t="shared" si="2"/>
        <v>48887.764199999998</v>
      </c>
      <c r="V26" s="355">
        <f t="shared" si="2"/>
        <v>47330.350079999997</v>
      </c>
      <c r="W26" s="360">
        <f t="shared" si="2"/>
        <v>45770.649599999997</v>
      </c>
      <c r="X26" s="219"/>
      <c r="Y26" s="219"/>
      <c r="Z26" s="219"/>
      <c r="AA26" s="219"/>
      <c r="AB26" s="219"/>
      <c r="AC26" s="219"/>
      <c r="AD26" s="219"/>
      <c r="AE26" s="219"/>
      <c r="AF26" s="219"/>
      <c r="AG26" s="219"/>
      <c r="AH26" s="219"/>
      <c r="AI26" s="219"/>
      <c r="AJ26" s="219"/>
      <c r="AK26" s="27"/>
      <c r="AL26" s="27"/>
      <c r="AM26" s="34"/>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CD26" s="34"/>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row>
    <row r="27" spans="1:118" x14ac:dyDescent="0.3">
      <c r="A27" s="195"/>
      <c r="B27" s="358" t="s">
        <v>476</v>
      </c>
      <c r="C27" s="354">
        <f t="shared" ref="C27:W27" si="3">2*C16*C9*365*(1+C22)</f>
        <v>131859.02400000003</v>
      </c>
      <c r="D27" s="354">
        <f t="shared" si="3"/>
        <v>138423.74974999999</v>
      </c>
      <c r="E27" s="354">
        <f t="shared" si="3"/>
        <v>154212.53796000005</v>
      </c>
      <c r="F27" s="354">
        <f t="shared" si="3"/>
        <v>168737.67791999999</v>
      </c>
      <c r="G27" s="354">
        <f t="shared" si="3"/>
        <v>143686.78037999998</v>
      </c>
      <c r="H27" s="354">
        <f t="shared" si="3"/>
        <v>119898.61056</v>
      </c>
      <c r="I27" s="354">
        <f t="shared" si="3"/>
        <v>115678.86599999999</v>
      </c>
      <c r="J27" s="354">
        <f t="shared" si="3"/>
        <v>113807.86650999999</v>
      </c>
      <c r="K27" s="354">
        <f t="shared" si="3"/>
        <v>113805.83200000001</v>
      </c>
      <c r="L27" s="354">
        <f t="shared" si="3"/>
        <v>114536.26854</v>
      </c>
      <c r="M27" s="354">
        <f t="shared" si="3"/>
        <v>113807.02190000001</v>
      </c>
      <c r="N27" s="354">
        <f t="shared" si="3"/>
        <v>112618.50525</v>
      </c>
      <c r="O27" s="354">
        <f t="shared" si="3"/>
        <v>111055.54823999999</v>
      </c>
      <c r="P27" s="354">
        <f t="shared" si="3"/>
        <v>109005.01182000001</v>
      </c>
      <c r="Q27" s="354">
        <f t="shared" si="3"/>
        <v>107191.45822000001</v>
      </c>
      <c r="R27" s="354">
        <f t="shared" si="3"/>
        <v>105011.08253999999</v>
      </c>
      <c r="S27" s="354">
        <f t="shared" si="3"/>
        <v>102695.5678</v>
      </c>
      <c r="T27" s="354">
        <f t="shared" si="3"/>
        <v>100313.55443999999</v>
      </c>
      <c r="U27" s="354">
        <f t="shared" si="3"/>
        <v>97785.3177</v>
      </c>
      <c r="V27" s="354">
        <f t="shared" si="3"/>
        <v>94708.106359999991</v>
      </c>
      <c r="W27" s="361">
        <f t="shared" si="3"/>
        <v>91587.143200000006</v>
      </c>
      <c r="X27" s="219"/>
      <c r="Y27" s="219"/>
      <c r="Z27" s="219"/>
      <c r="AA27" s="219"/>
      <c r="AB27" s="219"/>
      <c r="AC27" s="219"/>
      <c r="AD27" s="219"/>
      <c r="AE27" s="219"/>
      <c r="AF27" s="219"/>
      <c r="AG27" s="219"/>
      <c r="AH27" s="219"/>
      <c r="AI27" s="219"/>
      <c r="AJ27" s="219"/>
      <c r="AM27" s="34"/>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CD27" s="34"/>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row>
    <row r="28" spans="1:118" x14ac:dyDescent="0.3">
      <c r="A28" s="195"/>
      <c r="B28" s="358" t="s">
        <v>477</v>
      </c>
      <c r="C28" s="354">
        <f t="shared" ref="C28:W28" si="4">5*C15*C9*365*(1+C21)</f>
        <v>164360.04749999999</v>
      </c>
      <c r="D28" s="354">
        <f t="shared" si="4"/>
        <v>172767.229375</v>
      </c>
      <c r="E28" s="354">
        <f t="shared" si="4"/>
        <v>191963.62327500002</v>
      </c>
      <c r="F28" s="354">
        <f t="shared" si="4"/>
        <v>209517.10289999997</v>
      </c>
      <c r="G28" s="354">
        <f t="shared" si="4"/>
        <v>177658.20930000002</v>
      </c>
      <c r="H28" s="354">
        <f t="shared" si="4"/>
        <v>149315.076</v>
      </c>
      <c r="I28" s="354">
        <f t="shared" si="4"/>
        <v>143927.21062500001</v>
      </c>
      <c r="J28" s="354">
        <f t="shared" si="4"/>
        <v>142126.7003</v>
      </c>
      <c r="K28" s="354">
        <f t="shared" si="4"/>
        <v>141773.32190000001</v>
      </c>
      <c r="L28" s="354">
        <f t="shared" si="4"/>
        <v>142836.57146250003</v>
      </c>
      <c r="M28" s="354">
        <f t="shared" si="4"/>
        <v>142086.53387499999</v>
      </c>
      <c r="N28" s="354">
        <f t="shared" si="4"/>
        <v>140518.13343749999</v>
      </c>
      <c r="O28" s="354">
        <f t="shared" si="4"/>
        <v>138484.6281</v>
      </c>
      <c r="P28" s="354">
        <f t="shared" si="4"/>
        <v>136242.53895000005</v>
      </c>
      <c r="Q28" s="354">
        <f t="shared" si="4"/>
        <v>133827.67887500001</v>
      </c>
      <c r="R28" s="354">
        <f t="shared" si="4"/>
        <v>131237.44725</v>
      </c>
      <c r="S28" s="354">
        <f t="shared" si="4"/>
        <v>128188.82125000001</v>
      </c>
      <c r="T28" s="354">
        <f t="shared" si="4"/>
        <v>125291.24684999998</v>
      </c>
      <c r="U28" s="354">
        <f t="shared" si="4"/>
        <v>122219.41049999998</v>
      </c>
      <c r="V28" s="354">
        <f t="shared" si="4"/>
        <v>118325.87520000001</v>
      </c>
      <c r="W28" s="361">
        <f t="shared" si="4"/>
        <v>114426.624</v>
      </c>
      <c r="X28" s="219"/>
      <c r="Y28" s="219"/>
      <c r="Z28" s="219"/>
      <c r="AA28" s="219"/>
      <c r="AB28" s="219"/>
      <c r="AC28" s="219"/>
      <c r="AD28" s="219"/>
      <c r="AE28" s="219"/>
      <c r="AF28" s="219"/>
      <c r="AG28" s="219"/>
      <c r="AH28" s="219"/>
      <c r="AI28" s="219"/>
      <c r="AJ28" s="219"/>
      <c r="AM28" s="34"/>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CD28" s="34"/>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row>
    <row r="29" spans="1:118" x14ac:dyDescent="0.3">
      <c r="A29" s="195"/>
      <c r="B29" s="359" t="s">
        <v>478</v>
      </c>
      <c r="C29" s="356">
        <f t="shared" ref="C29:W29" si="5">5*C16*C9*365*(1+C22)</f>
        <v>329647.56</v>
      </c>
      <c r="D29" s="356">
        <f t="shared" si="5"/>
        <v>346059.37437499996</v>
      </c>
      <c r="E29" s="356">
        <f t="shared" si="5"/>
        <v>385531.34490000008</v>
      </c>
      <c r="F29" s="356">
        <f t="shared" si="5"/>
        <v>421844.19479999994</v>
      </c>
      <c r="G29" s="356">
        <f t="shared" si="5"/>
        <v>359216.95095000003</v>
      </c>
      <c r="H29" s="356">
        <f t="shared" si="5"/>
        <v>299746.52640000003</v>
      </c>
      <c r="I29" s="356">
        <f t="shared" si="5"/>
        <v>289197.16499999998</v>
      </c>
      <c r="J29" s="356">
        <f t="shared" si="5"/>
        <v>284519.66627500003</v>
      </c>
      <c r="K29" s="356">
        <f t="shared" si="5"/>
        <v>284514.58</v>
      </c>
      <c r="L29" s="356">
        <f t="shared" si="5"/>
        <v>286340.67135000008</v>
      </c>
      <c r="M29" s="356">
        <f t="shared" si="5"/>
        <v>284517.55475000001</v>
      </c>
      <c r="N29" s="356">
        <f t="shared" si="5"/>
        <v>281546.263125</v>
      </c>
      <c r="O29" s="356">
        <f t="shared" si="5"/>
        <v>277638.87060000002</v>
      </c>
      <c r="P29" s="356">
        <f t="shared" si="5"/>
        <v>272512.52955000009</v>
      </c>
      <c r="Q29" s="356">
        <f t="shared" si="5"/>
        <v>267978.64555000002</v>
      </c>
      <c r="R29" s="356">
        <f t="shared" si="5"/>
        <v>262527.70634999999</v>
      </c>
      <c r="S29" s="356">
        <f t="shared" si="5"/>
        <v>256738.91949999999</v>
      </c>
      <c r="T29" s="356">
        <f t="shared" si="5"/>
        <v>250783.88609999997</v>
      </c>
      <c r="U29" s="356">
        <f t="shared" si="5"/>
        <v>244463.29424999998</v>
      </c>
      <c r="V29" s="356">
        <f t="shared" si="5"/>
        <v>236770.26590000003</v>
      </c>
      <c r="W29" s="362">
        <f t="shared" si="5"/>
        <v>228967.85800000001</v>
      </c>
      <c r="X29" s="219"/>
      <c r="Y29" s="219"/>
      <c r="Z29" s="219"/>
      <c r="AA29" s="219"/>
      <c r="AB29" s="219"/>
      <c r="AC29" s="219"/>
      <c r="AD29" s="219"/>
      <c r="AE29" s="219"/>
      <c r="AF29" s="219"/>
      <c r="AG29" s="219"/>
      <c r="AH29" s="219"/>
      <c r="AI29" s="219"/>
      <c r="AJ29" s="219"/>
      <c r="AM29" s="34"/>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CD29" s="34"/>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row>
    <row r="30" spans="1:118" outlineLevel="1" x14ac:dyDescent="0.3">
      <c r="A30" s="195"/>
      <c r="X30" s="22"/>
      <c r="Y30" s="22"/>
      <c r="Z30" s="22"/>
      <c r="AA30" s="22"/>
      <c r="AB30" s="22"/>
      <c r="AC30" s="22"/>
      <c r="AD30" s="22"/>
      <c r="AE30" s="22"/>
      <c r="AF30" s="22"/>
      <c r="AG30" s="22"/>
      <c r="AH30" s="22"/>
      <c r="AI30" s="22"/>
      <c r="AQ30" s="22"/>
      <c r="AR30" s="22"/>
      <c r="AS30" s="22"/>
      <c r="AT30" s="22"/>
      <c r="AU30" s="22"/>
      <c r="AV30" s="22"/>
      <c r="AW30" s="22"/>
      <c r="AX30" s="22"/>
      <c r="AY30" s="22"/>
      <c r="AZ30" s="22"/>
      <c r="BA30" s="22"/>
      <c r="BB30" s="22"/>
      <c r="BC30" s="22"/>
      <c r="BD30" s="22"/>
      <c r="BE30" s="22"/>
      <c r="BF30" s="22"/>
      <c r="BN30" s="22"/>
      <c r="BO30" s="22"/>
      <c r="BP30" s="22"/>
      <c r="BQ30" s="22"/>
      <c r="BR30" s="22"/>
      <c r="BS30" s="22"/>
      <c r="BT30" s="22"/>
      <c r="BU30" s="22"/>
      <c r="BV30" s="22"/>
      <c r="BW30" s="22"/>
      <c r="BX30" s="22"/>
      <c r="BY30" s="22"/>
      <c r="BZ30" s="22"/>
      <c r="CA30" s="22"/>
      <c r="CB30" s="22"/>
      <c r="CC30" s="22"/>
    </row>
    <row r="31" spans="1:118" x14ac:dyDescent="0.3">
      <c r="A31" s="195"/>
      <c r="B31" s="378"/>
      <c r="C31" s="363"/>
      <c r="D31" s="363"/>
      <c r="E31" s="363"/>
      <c r="F31" s="363"/>
      <c r="G31" s="363"/>
      <c r="H31" s="363"/>
      <c r="I31" s="363"/>
      <c r="J31" s="363"/>
      <c r="K31" s="363"/>
      <c r="L31" s="363"/>
      <c r="M31" s="363"/>
      <c r="N31" s="363"/>
      <c r="O31" s="363"/>
      <c r="P31" s="363"/>
      <c r="Q31" s="363"/>
      <c r="R31" s="363"/>
      <c r="S31" s="363"/>
      <c r="T31" s="363"/>
      <c r="U31" s="363"/>
      <c r="V31" s="363"/>
      <c r="W31" s="379"/>
      <c r="X31" s="22"/>
      <c r="Y31" s="22"/>
      <c r="Z31" s="22"/>
      <c r="AA31" s="22"/>
      <c r="AB31" s="22"/>
      <c r="AC31" s="22"/>
      <c r="AD31" s="22"/>
      <c r="AE31" s="22"/>
      <c r="AF31" s="22"/>
      <c r="AG31" s="22"/>
      <c r="AH31" s="22"/>
      <c r="AI31" s="22"/>
      <c r="AQ31" s="22"/>
      <c r="AR31" s="22"/>
      <c r="AS31" s="22"/>
      <c r="AT31" s="22"/>
      <c r="AU31" s="22"/>
      <c r="AV31" s="22"/>
      <c r="AW31" s="22"/>
      <c r="AX31" s="22"/>
      <c r="AY31" s="22"/>
      <c r="AZ31" s="22"/>
      <c r="BA31" s="22"/>
      <c r="BB31" s="22"/>
      <c r="BC31" s="22"/>
      <c r="BD31" s="22"/>
      <c r="BE31" s="22"/>
      <c r="BF31" s="22"/>
      <c r="BN31" s="22"/>
      <c r="BO31" s="22"/>
      <c r="BP31" s="22"/>
      <c r="BQ31" s="22"/>
      <c r="BR31" s="22"/>
      <c r="BS31" s="22"/>
      <c r="BT31" s="22"/>
      <c r="BU31" s="22"/>
      <c r="BV31" s="22"/>
      <c r="BW31" s="22"/>
      <c r="BX31" s="22"/>
      <c r="BY31" s="22"/>
      <c r="BZ31" s="22"/>
      <c r="CA31" s="22"/>
      <c r="CB31" s="22"/>
      <c r="CC31" s="22"/>
    </row>
    <row r="32" spans="1:118" x14ac:dyDescent="0.3">
      <c r="A32" s="195"/>
      <c r="B32" s="378"/>
      <c r="C32" s="363"/>
      <c r="D32" s="363"/>
      <c r="E32" s="363"/>
      <c r="F32" s="363"/>
      <c r="G32" s="363"/>
      <c r="H32" s="363"/>
      <c r="I32" s="363"/>
      <c r="J32" s="363"/>
      <c r="K32" s="363"/>
      <c r="L32" s="363"/>
      <c r="M32" s="363"/>
      <c r="N32" s="363"/>
      <c r="O32" s="363"/>
      <c r="P32" s="363"/>
      <c r="Q32" s="363"/>
      <c r="R32" s="363"/>
      <c r="S32" s="363"/>
      <c r="T32" s="363"/>
      <c r="U32" s="363"/>
      <c r="V32" s="363"/>
      <c r="W32" s="379"/>
      <c r="X32" s="22"/>
      <c r="Y32" s="22"/>
      <c r="Z32" s="22"/>
      <c r="AA32" s="22"/>
      <c r="AB32" s="22"/>
      <c r="AC32" s="22"/>
      <c r="AD32" s="22"/>
      <c r="AE32" s="22"/>
      <c r="AF32" s="22"/>
      <c r="AG32" s="22"/>
      <c r="AH32" s="22"/>
      <c r="AI32" s="22"/>
      <c r="AQ32" s="22"/>
      <c r="AR32" s="22"/>
      <c r="AS32" s="22"/>
      <c r="AT32" s="22"/>
      <c r="AU32" s="22"/>
      <c r="AV32" s="22"/>
      <c r="AW32" s="22"/>
      <c r="AX32" s="22"/>
      <c r="AY32" s="22"/>
      <c r="AZ32" s="22"/>
      <c r="BA32" s="22"/>
      <c r="BB32" s="22"/>
      <c r="BC32" s="22"/>
      <c r="BD32" s="22"/>
      <c r="BE32" s="22"/>
      <c r="BF32" s="22"/>
      <c r="BN32" s="22"/>
      <c r="BO32" s="22"/>
      <c r="BP32" s="22"/>
      <c r="BQ32" s="22"/>
      <c r="BR32" s="22"/>
      <c r="BS32" s="22"/>
      <c r="BT32" s="22"/>
      <c r="BU32" s="22"/>
      <c r="BV32" s="22"/>
      <c r="BW32" s="22"/>
      <c r="BX32" s="22"/>
      <c r="BY32" s="22"/>
      <c r="BZ32" s="22"/>
      <c r="CA32" s="22"/>
      <c r="CB32" s="22"/>
      <c r="CC32" s="22"/>
    </row>
    <row r="33" spans="1:81" x14ac:dyDescent="0.3">
      <c r="A33" s="195"/>
      <c r="B33" s="378"/>
      <c r="C33" s="363"/>
      <c r="D33" s="363"/>
      <c r="E33" s="363"/>
      <c r="F33" s="363"/>
      <c r="G33" s="363"/>
      <c r="H33" s="363"/>
      <c r="I33" s="363"/>
      <c r="J33" s="363"/>
      <c r="K33" s="363"/>
      <c r="L33" s="363"/>
      <c r="M33" s="363"/>
      <c r="N33" s="363"/>
      <c r="O33" s="363"/>
      <c r="P33" s="363"/>
      <c r="Q33" s="363"/>
      <c r="R33" s="363"/>
      <c r="S33" s="363"/>
      <c r="T33" s="363"/>
      <c r="U33" s="363"/>
      <c r="V33" s="363"/>
    </row>
    <row r="34" spans="1:81" ht="21" x14ac:dyDescent="0.4">
      <c r="A34" s="195"/>
      <c r="S34" s="14"/>
      <c r="AP34" s="14"/>
      <c r="BM34" s="14"/>
    </row>
    <row r="35" spans="1:81" x14ac:dyDescent="0.3">
      <c r="A35" s="18"/>
      <c r="B35" s="2"/>
      <c r="C35" s="2"/>
      <c r="D35" s="2"/>
      <c r="E35" s="2"/>
      <c r="F35" s="2"/>
      <c r="G35" s="2"/>
      <c r="H35" s="2"/>
      <c r="I35" s="2"/>
      <c r="J35" s="2"/>
      <c r="K35" s="2"/>
      <c r="M35" s="2"/>
      <c r="N35" s="2"/>
      <c r="O35" s="2"/>
      <c r="P35" s="2"/>
      <c r="Q35" s="2"/>
      <c r="R35" s="2"/>
      <c r="S35" s="2"/>
      <c r="T35" s="2"/>
      <c r="U35" s="2"/>
      <c r="V35" s="2"/>
      <c r="W35" s="2"/>
      <c r="X35" s="2"/>
      <c r="Y35" s="2"/>
      <c r="Z35" s="2"/>
      <c r="AA35" s="2"/>
      <c r="AB35" s="2"/>
      <c r="AC35" s="2"/>
      <c r="AD35" s="2"/>
      <c r="AE35" s="2"/>
      <c r="AF35" s="2"/>
      <c r="AG35" s="2"/>
      <c r="AH35" s="2"/>
      <c r="AI35" s="2"/>
      <c r="AP35" s="2"/>
      <c r="AQ35" s="2"/>
      <c r="AR35" s="2"/>
      <c r="AS35" s="2"/>
      <c r="AT35" s="2"/>
      <c r="AU35" s="2"/>
      <c r="AV35" s="2"/>
      <c r="AW35" s="2"/>
      <c r="AX35" s="2"/>
      <c r="AY35" s="2"/>
      <c r="AZ35" s="2"/>
      <c r="BA35" s="2"/>
      <c r="BB35" s="2"/>
      <c r="BC35" s="2"/>
      <c r="BD35" s="2"/>
      <c r="BE35" s="2"/>
      <c r="BF35" s="2"/>
      <c r="BM35" s="2"/>
      <c r="BN35" s="2"/>
      <c r="BO35" s="2"/>
      <c r="BP35" s="2"/>
      <c r="BQ35" s="2"/>
      <c r="BR35" s="2"/>
      <c r="BS35" s="2"/>
      <c r="BT35" s="2"/>
      <c r="BU35" s="2"/>
      <c r="BV35" s="2"/>
      <c r="BW35" s="2"/>
      <c r="BX35" s="2"/>
      <c r="BY35" s="2"/>
      <c r="BZ35" s="2"/>
      <c r="CA35" s="2"/>
      <c r="CB35" s="2"/>
      <c r="CC35" s="2"/>
    </row>
    <row r="36" spans="1:81" x14ac:dyDescent="0.3">
      <c r="A36" s="12"/>
      <c r="B36" s="16"/>
      <c r="C36" s="194"/>
      <c r="D36" s="194"/>
      <c r="E36" s="194"/>
      <c r="F36" s="194"/>
      <c r="G36" s="194"/>
      <c r="H36" s="194"/>
      <c r="I36" s="194"/>
      <c r="J36" s="194"/>
      <c r="K36" s="194"/>
      <c r="M36" s="194"/>
      <c r="N36" s="194"/>
      <c r="O36" s="194"/>
      <c r="P36" s="194"/>
      <c r="Q36" s="2"/>
      <c r="R36" s="2"/>
      <c r="S36" s="2"/>
      <c r="T36" s="2"/>
      <c r="U36" s="2"/>
      <c r="V36" s="2"/>
      <c r="W36" s="2"/>
      <c r="X36" s="2"/>
      <c r="Y36" s="2"/>
      <c r="Z36" s="2"/>
      <c r="AA36" s="2"/>
      <c r="AB36" s="2"/>
      <c r="AC36" s="2"/>
      <c r="AD36" s="2"/>
      <c r="AE36" s="2"/>
      <c r="AF36" s="2"/>
      <c r="AG36" s="2"/>
      <c r="AH36" s="2"/>
      <c r="AI36" s="2"/>
      <c r="AP36" s="2"/>
      <c r="AQ36" s="2"/>
      <c r="AR36" s="2"/>
      <c r="AS36" s="2"/>
      <c r="AT36" s="2"/>
      <c r="AU36" s="2"/>
      <c r="AV36" s="2"/>
      <c r="AW36" s="2"/>
      <c r="AX36" s="2"/>
      <c r="AY36" s="2"/>
      <c r="AZ36" s="2"/>
      <c r="BA36" s="2"/>
      <c r="BB36" s="2"/>
      <c r="BC36" s="2"/>
      <c r="BD36" s="2"/>
      <c r="BE36" s="2"/>
      <c r="BF36" s="2"/>
      <c r="BM36" s="2"/>
      <c r="BN36" s="2"/>
      <c r="BO36" s="2"/>
      <c r="BP36" s="2"/>
      <c r="BQ36" s="2"/>
      <c r="BR36" s="2"/>
      <c r="BS36" s="2"/>
      <c r="BT36" s="2"/>
      <c r="BU36" s="2"/>
      <c r="BV36" s="2"/>
      <c r="BW36" s="2"/>
      <c r="BX36" s="2"/>
      <c r="BY36" s="2"/>
      <c r="BZ36" s="2"/>
      <c r="CA36" s="2"/>
      <c r="CB36" s="2"/>
      <c r="CC36" s="2"/>
    </row>
    <row r="37" spans="1:81" x14ac:dyDescent="0.3">
      <c r="B37" s="16"/>
      <c r="C37" s="194"/>
      <c r="D37" s="194"/>
      <c r="E37" s="194"/>
      <c r="F37" s="194"/>
      <c r="G37" s="194"/>
      <c r="H37" s="194"/>
      <c r="I37" s="194"/>
      <c r="J37" s="194"/>
      <c r="K37" s="194"/>
      <c r="M37" s="194"/>
      <c r="N37" s="194"/>
      <c r="O37" s="194"/>
      <c r="P37" s="194"/>
      <c r="Q37" s="22"/>
      <c r="R37" s="22"/>
      <c r="T37" s="22"/>
      <c r="U37" s="22"/>
      <c r="V37" s="22"/>
      <c r="W37" s="22"/>
      <c r="X37" s="22"/>
      <c r="Y37" s="22"/>
      <c r="Z37" s="22"/>
      <c r="AA37" s="22"/>
      <c r="AB37" s="22"/>
      <c r="AC37" s="22"/>
      <c r="AD37" s="22"/>
      <c r="AE37" s="22"/>
      <c r="AF37" s="22"/>
      <c r="AG37" s="22"/>
      <c r="AH37" s="22"/>
      <c r="AI37" s="22"/>
      <c r="AQ37" s="22"/>
      <c r="AR37" s="22"/>
      <c r="AS37" s="22"/>
      <c r="AT37" s="22"/>
      <c r="AU37" s="22"/>
      <c r="AV37" s="22"/>
      <c r="AW37" s="22"/>
      <c r="AX37" s="22"/>
      <c r="AY37" s="22"/>
      <c r="AZ37" s="22"/>
      <c r="BA37" s="22"/>
      <c r="BB37" s="22"/>
      <c r="BC37" s="22"/>
      <c r="BD37" s="22"/>
      <c r="BE37" s="22"/>
      <c r="BF37" s="22"/>
      <c r="BN37" s="22"/>
      <c r="BO37" s="22"/>
      <c r="BP37" s="22"/>
      <c r="BQ37" s="22"/>
      <c r="BR37" s="22"/>
      <c r="BS37" s="22"/>
      <c r="BT37" s="22"/>
      <c r="BU37" s="22"/>
      <c r="BV37" s="22"/>
      <c r="BW37" s="22"/>
      <c r="BX37" s="22"/>
      <c r="BY37" s="22"/>
      <c r="BZ37" s="22"/>
      <c r="CA37" s="22"/>
      <c r="CB37" s="22"/>
      <c r="CC37" s="22"/>
    </row>
    <row r="38" spans="1:81" x14ac:dyDescent="0.3">
      <c r="B38" s="16"/>
      <c r="C38" s="194"/>
      <c r="D38" s="194"/>
      <c r="E38" s="194"/>
      <c r="F38" s="194"/>
      <c r="G38" s="194"/>
      <c r="H38" s="194"/>
      <c r="I38" s="194"/>
      <c r="J38" s="194"/>
      <c r="K38" s="194"/>
      <c r="M38" s="194"/>
      <c r="N38" s="194"/>
      <c r="O38" s="194"/>
      <c r="P38" s="194"/>
      <c r="Q38" s="22"/>
      <c r="R38" s="22"/>
      <c r="T38" s="22"/>
      <c r="U38" s="22"/>
      <c r="V38" s="22"/>
      <c r="W38" s="22"/>
      <c r="X38" s="22"/>
      <c r="Y38" s="22"/>
      <c r="Z38" s="22"/>
      <c r="AA38" s="22"/>
      <c r="AB38" s="22"/>
      <c r="AC38" s="22"/>
      <c r="AD38" s="22"/>
      <c r="AE38" s="22"/>
      <c r="AF38" s="22"/>
      <c r="AG38" s="22"/>
      <c r="AH38" s="22"/>
      <c r="AI38" s="22"/>
      <c r="AQ38" s="22"/>
      <c r="AR38" s="22"/>
      <c r="AS38" s="22"/>
      <c r="AT38" s="22"/>
      <c r="AU38" s="22"/>
      <c r="AV38" s="22"/>
      <c r="AW38" s="22"/>
      <c r="AX38" s="22"/>
      <c r="AY38" s="22"/>
      <c r="AZ38" s="22"/>
      <c r="BA38" s="22"/>
      <c r="BB38" s="22"/>
      <c r="BC38" s="22"/>
      <c r="BD38" s="22"/>
      <c r="BE38" s="22"/>
      <c r="BF38" s="22"/>
      <c r="BN38" s="22"/>
      <c r="BO38" s="22"/>
      <c r="BP38" s="22"/>
      <c r="BQ38" s="22"/>
      <c r="BR38" s="22"/>
      <c r="BS38" s="22"/>
      <c r="BT38" s="22"/>
      <c r="BU38" s="22"/>
      <c r="BV38" s="22"/>
      <c r="BW38" s="22"/>
      <c r="BX38" s="22"/>
      <c r="BY38" s="22"/>
      <c r="BZ38" s="22"/>
      <c r="CA38" s="22"/>
      <c r="CB38" s="22"/>
      <c r="CC38" s="22"/>
    </row>
    <row r="39" spans="1:81" x14ac:dyDescent="0.3">
      <c r="B39" s="16"/>
      <c r="C39" s="194"/>
      <c r="D39" s="194"/>
      <c r="E39" s="194"/>
      <c r="F39" s="194"/>
      <c r="G39" s="194"/>
      <c r="H39" s="194"/>
      <c r="I39" s="194"/>
      <c r="J39" s="194"/>
      <c r="K39" s="194"/>
      <c r="M39" s="194"/>
      <c r="N39" s="194"/>
      <c r="O39" s="194"/>
      <c r="P39" s="194"/>
      <c r="Q39" s="22"/>
      <c r="R39" s="22"/>
      <c r="T39" s="22"/>
      <c r="U39" s="22"/>
      <c r="V39" s="22"/>
      <c r="W39" s="22"/>
      <c r="X39" s="22"/>
      <c r="Y39" s="22"/>
      <c r="Z39" s="22"/>
      <c r="AA39" s="22"/>
      <c r="AB39" s="22"/>
      <c r="AC39" s="22"/>
      <c r="AD39" s="22"/>
      <c r="AE39" s="22"/>
      <c r="AF39" s="22"/>
      <c r="AG39" s="22"/>
      <c r="AH39" s="22"/>
      <c r="AI39" s="22"/>
      <c r="AQ39" s="22"/>
      <c r="AR39" s="22"/>
      <c r="AS39" s="22"/>
      <c r="AT39" s="22"/>
      <c r="AU39" s="22"/>
      <c r="AV39" s="22"/>
      <c r="AW39" s="22"/>
      <c r="AX39" s="22"/>
      <c r="AY39" s="22"/>
      <c r="AZ39" s="22"/>
      <c r="BA39" s="22"/>
      <c r="BB39" s="22"/>
      <c r="BC39" s="22"/>
      <c r="BD39" s="22"/>
      <c r="BE39" s="22"/>
      <c r="BF39" s="22"/>
      <c r="BN39" s="22"/>
      <c r="BO39" s="22"/>
      <c r="BP39" s="22"/>
      <c r="BQ39" s="22"/>
      <c r="BR39" s="22"/>
      <c r="BS39" s="22"/>
      <c r="BT39" s="22"/>
      <c r="BU39" s="22"/>
      <c r="BV39" s="22"/>
      <c r="BW39" s="22"/>
      <c r="BX39" s="22"/>
      <c r="BY39" s="22"/>
      <c r="BZ39" s="22"/>
      <c r="CA39" s="22"/>
      <c r="CB39" s="22"/>
      <c r="CC39" s="22"/>
    </row>
    <row r="40" spans="1:81" x14ac:dyDescent="0.3">
      <c r="B40" s="16"/>
      <c r="C40" s="194"/>
      <c r="D40" s="194"/>
      <c r="E40" s="194"/>
      <c r="F40" s="194"/>
      <c r="G40" s="194"/>
      <c r="H40" s="194"/>
      <c r="I40" s="194"/>
      <c r="J40" s="194"/>
      <c r="K40" s="194"/>
      <c r="M40" s="194"/>
      <c r="N40" s="194"/>
      <c r="O40" s="194"/>
      <c r="P40" s="194"/>
      <c r="Q40" s="22"/>
      <c r="R40" s="22"/>
      <c r="T40" s="22"/>
      <c r="U40" s="22"/>
      <c r="V40" s="22"/>
      <c r="W40" s="22"/>
      <c r="X40" s="22"/>
      <c r="Y40" s="22"/>
      <c r="Z40" s="22"/>
      <c r="AA40" s="22"/>
      <c r="AB40" s="22"/>
      <c r="AC40" s="22"/>
      <c r="AD40" s="22"/>
      <c r="AE40" s="22"/>
      <c r="AF40" s="22"/>
      <c r="AG40" s="22"/>
      <c r="AH40" s="22"/>
      <c r="AI40" s="22"/>
      <c r="AQ40" s="22"/>
      <c r="AR40" s="22"/>
      <c r="AS40" s="22"/>
      <c r="AT40" s="22"/>
      <c r="AU40" s="22"/>
      <c r="AV40" s="22"/>
      <c r="AW40" s="22"/>
      <c r="AX40" s="22"/>
      <c r="AY40" s="22"/>
      <c r="AZ40" s="22"/>
      <c r="BA40" s="22"/>
      <c r="BB40" s="22"/>
      <c r="BC40" s="22"/>
      <c r="BD40" s="22"/>
      <c r="BE40" s="22"/>
      <c r="BF40" s="22"/>
      <c r="BN40" s="22"/>
      <c r="BO40" s="22"/>
      <c r="BP40" s="22"/>
      <c r="BQ40" s="22"/>
      <c r="BR40" s="22"/>
      <c r="BS40" s="22"/>
      <c r="BT40" s="22"/>
      <c r="BU40" s="22"/>
      <c r="BV40" s="22"/>
      <c r="BW40" s="22"/>
      <c r="BX40" s="22"/>
      <c r="BY40" s="22"/>
      <c r="BZ40" s="22"/>
      <c r="CA40" s="22"/>
      <c r="CB40" s="22"/>
      <c r="CC40" s="22"/>
    </row>
    <row r="41" spans="1:81" x14ac:dyDescent="0.3">
      <c r="M41" s="22"/>
      <c r="N41" s="22"/>
      <c r="O41" s="22"/>
      <c r="P41" s="22"/>
      <c r="Q41" s="22"/>
      <c r="R41" s="22"/>
      <c r="S41" s="22"/>
      <c r="T41" s="15"/>
      <c r="Y41" s="22"/>
    </row>
    <row r="42" spans="1:81" x14ac:dyDescent="0.3">
      <c r="M42" s="22"/>
      <c r="N42" s="22"/>
      <c r="O42" s="22"/>
      <c r="P42" s="22"/>
      <c r="Q42" s="22"/>
      <c r="R42" s="22"/>
      <c r="S42" s="22"/>
      <c r="T42" s="15"/>
      <c r="Y42" s="22"/>
      <c r="AU42" s="31"/>
    </row>
    <row r="43" spans="1:81" x14ac:dyDescent="0.3">
      <c r="A43" s="18"/>
      <c r="B43" s="2"/>
      <c r="D43" s="338"/>
      <c r="E43" s="338"/>
      <c r="F43" s="338"/>
      <c r="G43" s="338"/>
      <c r="H43" s="338"/>
      <c r="I43" s="338"/>
      <c r="J43" s="338"/>
      <c r="K43" s="338"/>
      <c r="L43" s="339"/>
      <c r="M43" s="338"/>
      <c r="N43" s="338"/>
      <c r="O43" s="338"/>
      <c r="P43" s="338"/>
      <c r="Q43" s="39"/>
      <c r="R43" s="39"/>
      <c r="S43" s="39"/>
      <c r="T43" s="39"/>
      <c r="U43" s="39"/>
      <c r="V43" s="39"/>
      <c r="W43" s="39"/>
      <c r="X43" s="22"/>
      <c r="Y43" s="22"/>
      <c r="Z43" s="22"/>
      <c r="AU43" s="31"/>
    </row>
    <row r="44" spans="1:81" x14ac:dyDescent="0.3">
      <c r="A44" s="12"/>
      <c r="B44" s="16"/>
      <c r="D44" s="194"/>
      <c r="E44" s="194"/>
      <c r="F44" s="194"/>
      <c r="G44" s="194"/>
      <c r="H44" s="194"/>
      <c r="I44" s="194"/>
      <c r="J44" s="194"/>
      <c r="K44" s="194"/>
      <c r="M44" s="194"/>
      <c r="N44" s="194"/>
      <c r="O44" s="194"/>
      <c r="P44" s="194"/>
      <c r="Q44" s="22"/>
      <c r="R44" s="22"/>
      <c r="S44" s="22"/>
      <c r="T44" s="22"/>
      <c r="U44" s="22"/>
      <c r="V44" s="22"/>
      <c r="W44" s="22"/>
      <c r="X44" s="22"/>
      <c r="Y44" s="22"/>
      <c r="Z44" s="22"/>
      <c r="AU44" s="31"/>
    </row>
    <row r="45" spans="1:81" x14ac:dyDescent="0.3">
      <c r="B45" s="16"/>
      <c r="D45" s="338"/>
      <c r="E45" s="244"/>
      <c r="F45" s="244"/>
      <c r="G45" s="244"/>
      <c r="H45" s="244"/>
      <c r="I45" s="244"/>
      <c r="J45" s="244"/>
      <c r="K45" s="244"/>
      <c r="M45" s="22"/>
      <c r="N45" s="22"/>
      <c r="O45" s="22"/>
      <c r="P45" s="22"/>
      <c r="Q45" s="22"/>
      <c r="R45" s="22"/>
      <c r="S45" s="22"/>
      <c r="T45" s="22"/>
      <c r="U45" s="22"/>
      <c r="V45" s="22"/>
      <c r="W45" s="22"/>
      <c r="X45" s="22"/>
      <c r="Y45" s="22"/>
      <c r="Z45" s="22"/>
    </row>
    <row r="46" spans="1:81" x14ac:dyDescent="0.3">
      <c r="B46" s="16"/>
      <c r="D46" s="338"/>
      <c r="E46" s="244"/>
      <c r="F46" s="244"/>
      <c r="G46" s="244"/>
      <c r="H46" s="244"/>
      <c r="I46" s="244"/>
      <c r="J46" s="244"/>
      <c r="K46" s="244"/>
      <c r="M46" s="22"/>
      <c r="N46" s="22"/>
      <c r="O46" s="22"/>
      <c r="P46" s="22"/>
      <c r="Q46" s="22"/>
      <c r="R46" s="22"/>
      <c r="S46" s="22"/>
      <c r="T46" s="22"/>
      <c r="U46" s="22"/>
      <c r="V46" s="22"/>
      <c r="W46" s="22"/>
      <c r="X46" s="22"/>
      <c r="Y46" s="22"/>
      <c r="Z46" s="22"/>
    </row>
    <row r="47" spans="1:81" x14ac:dyDescent="0.3">
      <c r="B47" s="216"/>
      <c r="D47" s="338"/>
      <c r="M47" s="22"/>
      <c r="N47" s="22"/>
      <c r="O47" s="22"/>
      <c r="P47" s="22"/>
      <c r="Q47" s="22"/>
      <c r="R47" s="22"/>
      <c r="S47" s="22"/>
      <c r="T47" s="22"/>
      <c r="U47" s="22"/>
      <c r="V47" s="22"/>
      <c r="W47" s="22"/>
      <c r="X47" s="22"/>
      <c r="Y47" s="22"/>
      <c r="Z47" s="22"/>
    </row>
    <row r="48" spans="1:81" x14ac:dyDescent="0.3">
      <c r="B48" s="16"/>
      <c r="D48" s="338"/>
      <c r="E48" s="22"/>
      <c r="F48" s="22"/>
      <c r="G48" s="22"/>
      <c r="H48" s="22"/>
      <c r="I48" s="22"/>
      <c r="J48" s="22"/>
      <c r="K48" s="22"/>
      <c r="L48" s="22"/>
      <c r="M48" s="22"/>
      <c r="N48" s="22"/>
      <c r="O48" s="22"/>
      <c r="P48" s="22"/>
      <c r="Q48" s="22"/>
      <c r="R48" s="22"/>
      <c r="S48" s="22"/>
      <c r="T48" s="22"/>
      <c r="U48" s="22"/>
      <c r="V48" s="22"/>
      <c r="W48" s="22"/>
      <c r="X48" s="22"/>
      <c r="Y48" s="22"/>
      <c r="Z48" s="22"/>
    </row>
    <row r="49" spans="1:26" x14ac:dyDescent="0.3">
      <c r="A49" s="18"/>
      <c r="B49" s="2"/>
      <c r="D49" s="338"/>
      <c r="E49" s="2"/>
      <c r="F49" s="2"/>
      <c r="G49" s="2"/>
      <c r="H49" s="2"/>
      <c r="I49" s="2"/>
      <c r="J49" s="2"/>
      <c r="K49" s="2"/>
      <c r="L49" s="2"/>
      <c r="M49" s="2"/>
      <c r="N49" s="2"/>
      <c r="O49" s="2"/>
      <c r="P49" s="2"/>
      <c r="Q49" s="22"/>
      <c r="R49" s="22"/>
      <c r="S49" s="22"/>
      <c r="T49" s="22"/>
      <c r="U49" s="22"/>
      <c r="V49" s="22"/>
      <c r="W49" s="22"/>
      <c r="X49" s="22"/>
      <c r="Y49" s="22"/>
      <c r="Z49" s="22"/>
    </row>
    <row r="50" spans="1:26" x14ac:dyDescent="0.3">
      <c r="A50" s="12"/>
      <c r="B50" s="16"/>
      <c r="D50" s="338"/>
      <c r="E50" s="22"/>
      <c r="F50" s="22"/>
      <c r="G50" s="22"/>
      <c r="H50" s="22"/>
      <c r="I50" s="22"/>
      <c r="J50" s="22"/>
      <c r="K50" s="22"/>
      <c r="L50" s="22"/>
      <c r="M50" s="22"/>
      <c r="N50" s="22"/>
      <c r="O50" s="22"/>
      <c r="P50" s="22"/>
      <c r="Q50" s="22"/>
      <c r="R50" s="22"/>
      <c r="S50" s="22"/>
      <c r="T50" s="22"/>
      <c r="U50" s="22"/>
      <c r="V50" s="22"/>
      <c r="W50" s="22"/>
      <c r="X50" s="22"/>
      <c r="Y50" s="22"/>
      <c r="Z50" s="22"/>
    </row>
    <row r="51" spans="1:26" x14ac:dyDescent="0.3">
      <c r="A51" s="11"/>
      <c r="B51" s="16"/>
      <c r="D51" s="338"/>
      <c r="E51" s="22"/>
      <c r="F51" s="22"/>
      <c r="G51" s="22"/>
      <c r="H51" s="22"/>
      <c r="I51" s="22"/>
      <c r="J51" s="22"/>
      <c r="K51" s="22"/>
      <c r="L51" s="217"/>
      <c r="M51" s="217"/>
      <c r="N51" s="217"/>
      <c r="O51" s="217"/>
      <c r="P51" s="217"/>
    </row>
    <row r="52" spans="1:26" x14ac:dyDescent="0.3">
      <c r="D52" s="338"/>
    </row>
    <row r="53" spans="1:26" x14ac:dyDescent="0.3">
      <c r="D53" s="339"/>
    </row>
    <row r="54" spans="1:26" x14ac:dyDescent="0.3">
      <c r="A54" s="18"/>
      <c r="B54" s="2"/>
      <c r="D54" s="338"/>
      <c r="E54" s="2"/>
      <c r="F54" s="2"/>
      <c r="G54" s="2"/>
      <c r="H54" s="2"/>
      <c r="I54" s="2"/>
      <c r="J54" s="2"/>
      <c r="K54" s="2"/>
      <c r="L54" s="2"/>
      <c r="M54" s="2"/>
      <c r="N54" s="2"/>
      <c r="O54" s="2"/>
      <c r="P54" s="2"/>
    </row>
    <row r="55" spans="1:26" x14ac:dyDescent="0.3">
      <c r="A55" s="12"/>
      <c r="B55" s="16"/>
      <c r="D55" s="338"/>
      <c r="E55" s="23"/>
      <c r="F55" s="23"/>
      <c r="G55" s="23"/>
      <c r="H55" s="23"/>
      <c r="I55" s="23"/>
      <c r="J55" s="23"/>
      <c r="K55" s="23"/>
      <c r="L55" s="23"/>
      <c r="M55" s="23"/>
      <c r="N55" s="23"/>
      <c r="O55" s="23"/>
      <c r="P55" s="23"/>
    </row>
    <row r="56" spans="1:26" x14ac:dyDescent="0.3">
      <c r="B56" s="16"/>
      <c r="D56" s="338"/>
      <c r="E56" s="23"/>
      <c r="F56" s="23"/>
      <c r="G56" s="23"/>
      <c r="H56" s="23"/>
      <c r="I56" s="23"/>
      <c r="J56" s="23"/>
      <c r="K56" s="23"/>
    </row>
    <row r="57" spans="1:26" x14ac:dyDescent="0.3">
      <c r="B57" s="16"/>
      <c r="D57" s="338"/>
      <c r="E57" s="23"/>
      <c r="F57" s="23"/>
      <c r="G57" s="23"/>
      <c r="H57" s="23"/>
      <c r="I57" s="23"/>
      <c r="J57" s="23"/>
      <c r="K57" s="23"/>
    </row>
    <row r="58" spans="1:26" x14ac:dyDescent="0.3">
      <c r="B58" s="16"/>
      <c r="D58" s="39"/>
      <c r="E58" s="196"/>
      <c r="F58" s="196"/>
      <c r="G58" s="196"/>
      <c r="H58" s="196"/>
      <c r="I58" s="196"/>
      <c r="J58" s="196"/>
      <c r="K58" s="196"/>
      <c r="L58" s="8"/>
      <c r="M58" s="8"/>
      <c r="N58" s="8"/>
      <c r="O58" s="8"/>
      <c r="P58" s="8"/>
    </row>
    <row r="59" spans="1:26" x14ac:dyDescent="0.3">
      <c r="B59" s="16"/>
      <c r="D59" s="39"/>
      <c r="E59" s="196"/>
      <c r="F59" s="196"/>
      <c r="G59" s="196"/>
      <c r="H59" s="196"/>
      <c r="I59" s="196"/>
      <c r="J59" s="196"/>
      <c r="K59" s="196"/>
      <c r="L59" s="8"/>
      <c r="M59" s="8"/>
      <c r="N59" s="8"/>
      <c r="O59" s="8"/>
      <c r="P59" s="8"/>
    </row>
    <row r="60" spans="1:26" x14ac:dyDescent="0.3">
      <c r="B60" s="16"/>
      <c r="D60" s="39"/>
      <c r="E60" s="22"/>
      <c r="F60" s="22"/>
      <c r="G60" s="22"/>
      <c r="H60" s="22"/>
      <c r="I60" s="22"/>
      <c r="J60" s="22"/>
      <c r="K60" s="22"/>
    </row>
    <row r="61" spans="1:26" x14ac:dyDescent="0.3">
      <c r="D61" s="39"/>
    </row>
    <row r="62" spans="1:26" x14ac:dyDescent="0.3">
      <c r="A62" s="18"/>
      <c r="B62" s="2"/>
      <c r="D62" s="39"/>
      <c r="E62" s="2"/>
      <c r="F62" s="2"/>
      <c r="G62" s="2"/>
      <c r="H62" s="2"/>
      <c r="I62" s="2"/>
      <c r="J62" s="2"/>
      <c r="K62" s="2"/>
      <c r="L62" s="2"/>
      <c r="M62" s="2"/>
      <c r="N62" s="2"/>
      <c r="O62" s="2"/>
      <c r="P62" s="2"/>
    </row>
    <row r="63" spans="1:26" x14ac:dyDescent="0.3">
      <c r="A63" s="12"/>
      <c r="B63" s="26"/>
      <c r="D63" s="39"/>
      <c r="E63" s="2"/>
      <c r="F63" s="2"/>
      <c r="G63" s="2"/>
      <c r="H63" s="2"/>
      <c r="I63" s="2"/>
      <c r="J63" s="2"/>
      <c r="K63" s="2"/>
      <c r="L63" s="2"/>
      <c r="M63" s="2"/>
      <c r="N63" s="2"/>
      <c r="O63" s="2"/>
      <c r="P63" s="2"/>
    </row>
    <row r="64" spans="1:26" x14ac:dyDescent="0.3">
      <c r="A64" s="25"/>
      <c r="B64" s="26"/>
      <c r="D64" s="39"/>
      <c r="E64" s="219"/>
      <c r="F64" s="219"/>
      <c r="G64" s="219"/>
      <c r="H64" s="219"/>
      <c r="I64" s="219"/>
      <c r="J64" s="219"/>
      <c r="K64" s="219"/>
      <c r="L64" s="219"/>
      <c r="M64" s="219"/>
      <c r="N64" s="219"/>
      <c r="O64" s="219"/>
      <c r="P64" s="219"/>
      <c r="Y64" s="245"/>
    </row>
    <row r="65" spans="1:25" x14ac:dyDescent="0.3">
      <c r="A65" s="25"/>
      <c r="B65" s="26"/>
      <c r="C65" s="38"/>
      <c r="D65" s="38"/>
      <c r="E65" s="38"/>
      <c r="F65" s="38"/>
      <c r="G65" s="38"/>
      <c r="H65" s="38"/>
      <c r="I65" s="38"/>
      <c r="J65" s="38"/>
      <c r="K65" s="38"/>
      <c r="L65" s="38"/>
      <c r="M65" s="38"/>
      <c r="N65" s="38"/>
      <c r="O65" s="38"/>
      <c r="P65" s="38"/>
      <c r="Y65" s="245"/>
    </row>
    <row r="66" spans="1:25" x14ac:dyDescent="0.3">
      <c r="C66" s="38"/>
      <c r="D66" s="38"/>
      <c r="E66" s="38"/>
      <c r="F66" s="38"/>
      <c r="G66" s="38"/>
      <c r="H66" s="38"/>
      <c r="I66" s="38"/>
      <c r="J66" s="38"/>
      <c r="K66" s="38"/>
      <c r="L66" s="38"/>
      <c r="M66" s="38"/>
      <c r="N66" s="38"/>
      <c r="O66" s="38"/>
      <c r="P66" s="38"/>
      <c r="Y66" s="245"/>
    </row>
    <row r="67" spans="1:25" x14ac:dyDescent="0.3">
      <c r="A67" s="18"/>
      <c r="B67" s="2"/>
      <c r="C67" s="2"/>
      <c r="D67" s="2"/>
      <c r="E67" s="2"/>
      <c r="F67" s="2"/>
      <c r="G67" s="2"/>
      <c r="H67" s="2"/>
      <c r="I67" s="2"/>
      <c r="J67" s="2"/>
      <c r="K67" s="2"/>
      <c r="L67" s="2"/>
      <c r="M67" s="2"/>
      <c r="N67" s="2"/>
      <c r="O67" s="2"/>
      <c r="P67" s="2"/>
      <c r="Y67" s="245"/>
    </row>
    <row r="68" spans="1:25" x14ac:dyDescent="0.3">
      <c r="A68" s="12"/>
      <c r="B68" s="26"/>
      <c r="C68" s="39"/>
      <c r="D68" s="39"/>
      <c r="E68" s="39"/>
      <c r="F68" s="39"/>
      <c r="G68" s="39"/>
      <c r="H68" s="39"/>
      <c r="I68" s="39"/>
      <c r="J68" s="39"/>
      <c r="K68" s="39"/>
      <c r="L68" s="39"/>
      <c r="M68" s="39"/>
      <c r="N68" s="39"/>
      <c r="O68" s="39"/>
      <c r="P68" s="39"/>
      <c r="Y68" s="245"/>
    </row>
    <row r="69" spans="1:25" x14ac:dyDescent="0.3">
      <c r="A69" s="25"/>
      <c r="B69" s="26"/>
      <c r="C69" s="39"/>
      <c r="D69" s="39"/>
      <c r="E69" s="39"/>
      <c r="F69" s="39"/>
      <c r="G69" s="39"/>
      <c r="H69" s="39"/>
      <c r="I69" s="39"/>
      <c r="J69" s="39"/>
      <c r="K69" s="39"/>
      <c r="L69" s="39"/>
      <c r="M69" s="39"/>
      <c r="N69" s="39"/>
      <c r="O69" s="39"/>
      <c r="P69" s="39"/>
      <c r="Y69" s="245"/>
    </row>
    <row r="72" spans="1:25" x14ac:dyDescent="0.3">
      <c r="A72" s="18"/>
      <c r="B72" s="2"/>
      <c r="C72" s="2"/>
      <c r="D72" s="2"/>
      <c r="E72" s="2"/>
      <c r="F72" s="2"/>
      <c r="G72" s="2"/>
      <c r="H72" s="2"/>
      <c r="I72" s="2"/>
      <c r="J72" s="2"/>
      <c r="K72" s="2"/>
      <c r="L72" s="2"/>
      <c r="M72" s="2"/>
      <c r="N72" s="2"/>
      <c r="O72" s="2"/>
      <c r="P72" s="2"/>
    </row>
    <row r="73" spans="1:25" x14ac:dyDescent="0.3">
      <c r="A73" s="12"/>
      <c r="B73" s="26"/>
      <c r="C73" s="39"/>
      <c r="D73" s="39"/>
      <c r="E73" s="39"/>
      <c r="F73" s="39"/>
      <c r="G73" s="39"/>
      <c r="H73" s="39"/>
      <c r="I73" s="39"/>
      <c r="J73" s="39"/>
      <c r="K73" s="39"/>
      <c r="L73" s="39"/>
      <c r="M73" s="39"/>
      <c r="N73" s="39"/>
      <c r="O73" s="39"/>
      <c r="P73" s="39"/>
    </row>
    <row r="74" spans="1:25" x14ac:dyDescent="0.3">
      <c r="A74" s="17"/>
      <c r="B74" s="26"/>
      <c r="C74" s="39"/>
      <c r="D74" s="39"/>
      <c r="E74" s="39"/>
      <c r="F74" s="39"/>
      <c r="G74" s="39"/>
      <c r="H74" s="39"/>
      <c r="I74" s="39"/>
      <c r="J74" s="39"/>
      <c r="K74" s="39"/>
      <c r="L74" s="39"/>
      <c r="M74" s="39"/>
      <c r="N74" s="39"/>
      <c r="O74" s="39"/>
      <c r="P74" s="39"/>
    </row>
    <row r="75" spans="1:25" x14ac:dyDescent="0.3">
      <c r="B75" s="26"/>
      <c r="C75" s="39"/>
      <c r="D75" s="39"/>
      <c r="E75" s="39"/>
      <c r="F75" s="39"/>
      <c r="G75" s="39"/>
      <c r="H75" s="39"/>
      <c r="I75" s="39"/>
      <c r="J75" s="39"/>
      <c r="K75" s="39"/>
      <c r="L75" s="39"/>
      <c r="M75" s="39"/>
      <c r="N75" s="39"/>
      <c r="O75" s="39"/>
      <c r="P75" s="39"/>
    </row>
    <row r="76" spans="1:25" x14ac:dyDescent="0.3">
      <c r="A76" s="25"/>
      <c r="B76" s="26"/>
      <c r="C76" s="2"/>
      <c r="D76" s="2"/>
      <c r="E76" s="2"/>
      <c r="F76" s="2"/>
      <c r="G76" s="2"/>
      <c r="H76" s="2"/>
      <c r="I76" s="2"/>
      <c r="J76" s="2"/>
      <c r="K76" s="2"/>
      <c r="L76" s="2"/>
      <c r="M76" s="2"/>
      <c r="N76" s="2"/>
      <c r="O76" s="2"/>
      <c r="P76" s="2"/>
    </row>
    <row r="77" spans="1:25" x14ac:dyDescent="0.3">
      <c r="A77" s="18"/>
      <c r="B77" s="2"/>
      <c r="C77" s="2"/>
      <c r="D77" s="2"/>
      <c r="E77" s="2"/>
      <c r="F77" s="2"/>
      <c r="G77" s="2"/>
      <c r="H77" s="2"/>
      <c r="I77" s="2"/>
      <c r="J77" s="2"/>
      <c r="K77" s="2"/>
      <c r="L77" s="2"/>
      <c r="M77" s="2"/>
      <c r="N77" s="2"/>
      <c r="O77" s="2"/>
      <c r="P77" s="2"/>
    </row>
    <row r="78" spans="1:25" x14ac:dyDescent="0.3">
      <c r="A78" s="12"/>
      <c r="C78" s="4"/>
      <c r="D78" s="4"/>
      <c r="E78" s="4"/>
      <c r="F78" s="4"/>
      <c r="G78" s="4"/>
      <c r="H78" s="4"/>
      <c r="I78" s="4"/>
      <c r="J78" s="4"/>
      <c r="K78" s="4"/>
      <c r="L78" s="4"/>
      <c r="M78" s="4"/>
      <c r="N78" s="4"/>
      <c r="O78" s="4"/>
      <c r="P78" s="4"/>
    </row>
    <row r="79" spans="1:25" x14ac:dyDescent="0.3">
      <c r="C79" s="39"/>
      <c r="D79" s="39"/>
      <c r="E79" s="39"/>
      <c r="F79" s="39"/>
      <c r="G79" s="39"/>
      <c r="H79" s="39"/>
      <c r="I79" s="39"/>
      <c r="J79" s="39"/>
      <c r="K79" s="39"/>
      <c r="L79" s="39"/>
      <c r="M79" s="39"/>
      <c r="N79" s="39"/>
      <c r="O79" s="39"/>
      <c r="P79" s="39"/>
    </row>
    <row r="80" spans="1:25" x14ac:dyDescent="0.3">
      <c r="C80" s="39"/>
      <c r="D80" s="39"/>
      <c r="E80" s="39"/>
      <c r="F80" s="39"/>
      <c r="G80" s="39"/>
      <c r="H80" s="39"/>
      <c r="I80" s="39"/>
      <c r="J80" s="39"/>
      <c r="K80" s="39"/>
      <c r="L80" s="39"/>
      <c r="M80" s="39"/>
      <c r="N80" s="39"/>
      <c r="O80" s="39"/>
      <c r="P80" s="39"/>
    </row>
    <row r="81" spans="1:38" x14ac:dyDescent="0.3">
      <c r="A81" s="20"/>
      <c r="B81" s="21"/>
      <c r="C81" s="23"/>
      <c r="D81" s="23"/>
      <c r="E81" s="23"/>
      <c r="F81" s="23"/>
      <c r="G81" s="23"/>
      <c r="H81" s="23"/>
      <c r="I81" s="23"/>
      <c r="J81" s="23"/>
      <c r="K81" s="23"/>
    </row>
    <row r="82" spans="1:38" x14ac:dyDescent="0.3">
      <c r="C82" s="8"/>
      <c r="D82" s="8"/>
      <c r="E82" s="8"/>
      <c r="F82" s="8"/>
      <c r="G82" s="8"/>
      <c r="H82" s="8"/>
      <c r="I82" s="8"/>
      <c r="J82" s="8"/>
      <c r="K82" s="8"/>
      <c r="L82" s="8"/>
      <c r="M82" s="8"/>
      <c r="N82" s="8"/>
      <c r="O82" s="8"/>
      <c r="P82" s="8"/>
    </row>
    <row r="83" spans="1:38" x14ac:dyDescent="0.3">
      <c r="A83" s="18"/>
      <c r="B83" s="2"/>
      <c r="C83" s="2"/>
      <c r="D83" s="2"/>
      <c r="E83" s="2"/>
      <c r="F83" s="2"/>
      <c r="G83" s="2"/>
      <c r="H83" s="2"/>
      <c r="I83" s="2"/>
      <c r="J83" s="2"/>
      <c r="K83" s="2"/>
      <c r="L83" s="2"/>
      <c r="M83" s="2"/>
      <c r="N83" s="2"/>
      <c r="O83" s="2"/>
      <c r="P83" s="2"/>
    </row>
    <row r="84" spans="1:38" x14ac:dyDescent="0.3">
      <c r="A84" s="12"/>
      <c r="B84" s="26"/>
      <c r="C84" s="4"/>
      <c r="D84" s="4"/>
      <c r="E84" s="4"/>
      <c r="F84" s="4"/>
      <c r="G84" s="4"/>
      <c r="H84" s="4"/>
      <c r="I84" s="4"/>
      <c r="J84" s="4"/>
      <c r="K84" s="4"/>
      <c r="L84" s="4"/>
      <c r="M84" s="4"/>
      <c r="N84" s="4"/>
      <c r="O84" s="4"/>
      <c r="P84" s="4"/>
    </row>
    <row r="85" spans="1:38" x14ac:dyDescent="0.3">
      <c r="B85" s="16"/>
      <c r="C85" s="9"/>
      <c r="D85" s="9"/>
      <c r="E85" s="9"/>
      <c r="F85" s="9"/>
      <c r="G85" s="9"/>
      <c r="H85" s="9"/>
      <c r="I85" s="9"/>
      <c r="J85" s="9"/>
      <c r="K85" s="9"/>
      <c r="L85" s="9"/>
      <c r="M85" s="9"/>
      <c r="N85" s="9"/>
      <c r="O85" s="9"/>
      <c r="P85" s="9"/>
    </row>
    <row r="86" spans="1:38" x14ac:dyDescent="0.3">
      <c r="B86" s="16"/>
      <c r="C86" s="9"/>
      <c r="D86" s="9"/>
      <c r="E86" s="9"/>
      <c r="F86" s="9"/>
      <c r="G86" s="9"/>
      <c r="H86" s="9"/>
      <c r="I86" s="9"/>
      <c r="J86" s="9"/>
      <c r="K86" s="9"/>
      <c r="L86" s="9"/>
      <c r="M86" s="9"/>
      <c r="N86" s="9"/>
      <c r="O86" s="9"/>
      <c r="P86" s="9"/>
    </row>
    <row r="87" spans="1:38" x14ac:dyDescent="0.3">
      <c r="B87" s="16"/>
      <c r="C87" s="9"/>
      <c r="D87" s="9"/>
      <c r="E87" s="9"/>
      <c r="F87" s="9"/>
      <c r="G87" s="9"/>
      <c r="H87" s="9"/>
      <c r="I87" s="9"/>
      <c r="J87" s="9"/>
      <c r="K87" s="9"/>
      <c r="L87" s="9"/>
      <c r="M87" s="9"/>
      <c r="N87" s="9"/>
      <c r="O87" s="9"/>
      <c r="P87" s="9"/>
    </row>
    <row r="88" spans="1:38" x14ac:dyDescent="0.3">
      <c r="B88" s="16"/>
      <c r="C88" s="9"/>
      <c r="D88" s="9"/>
      <c r="E88" s="9"/>
      <c r="F88" s="9"/>
      <c r="G88" s="9"/>
      <c r="H88" s="9"/>
      <c r="I88" s="9"/>
      <c r="J88" s="9"/>
      <c r="K88" s="9"/>
      <c r="L88" s="9"/>
      <c r="M88" s="9"/>
      <c r="N88" s="9"/>
      <c r="O88" s="9"/>
      <c r="P88" s="9"/>
    </row>
    <row r="89" spans="1:38" x14ac:dyDescent="0.3">
      <c r="A89" s="16"/>
      <c r="B89" s="16"/>
      <c r="C89" s="9"/>
      <c r="D89" s="9"/>
      <c r="E89" s="9"/>
      <c r="F89" s="9"/>
      <c r="G89" s="9"/>
      <c r="H89" s="9"/>
      <c r="I89" s="9"/>
      <c r="J89" s="9"/>
      <c r="K89" s="9"/>
      <c r="L89" s="9"/>
      <c r="M89" s="9"/>
      <c r="N89" s="9"/>
      <c r="O89" s="9"/>
      <c r="P89" s="9"/>
      <c r="S89" s="28"/>
      <c r="T89" s="9"/>
      <c r="U89" s="9"/>
      <c r="V89" s="28"/>
      <c r="W89" s="9"/>
      <c r="X89" s="28"/>
      <c r="Y89" s="28"/>
      <c r="Z89" s="28"/>
      <c r="AA89" s="28"/>
      <c r="AB89" s="9"/>
      <c r="AC89" s="28"/>
      <c r="AD89" s="28"/>
      <c r="AE89" s="28"/>
      <c r="AF89" s="28"/>
      <c r="AG89" s="9"/>
      <c r="AH89" s="28"/>
      <c r="AI89" s="28"/>
      <c r="AJ89" s="28"/>
      <c r="AK89" s="28"/>
      <c r="AL89" s="28"/>
    </row>
    <row r="90" spans="1:38" x14ac:dyDescent="0.3">
      <c r="A90" s="16"/>
      <c r="B90" s="16"/>
      <c r="C90" s="9"/>
      <c r="D90" s="9"/>
      <c r="E90" s="9"/>
      <c r="F90" s="9"/>
      <c r="G90" s="9"/>
      <c r="H90" s="9"/>
      <c r="I90" s="9"/>
      <c r="J90" s="9"/>
      <c r="K90" s="9"/>
      <c r="L90" s="9"/>
      <c r="M90" s="9"/>
      <c r="N90" s="9"/>
      <c r="O90" s="9"/>
      <c r="P90" s="9"/>
      <c r="S90" s="28"/>
      <c r="T90" s="9"/>
      <c r="U90" s="9"/>
      <c r="V90" s="28"/>
      <c r="W90" s="9"/>
      <c r="X90" s="28"/>
      <c r="Y90" s="28"/>
      <c r="Z90" s="28"/>
      <c r="AA90" s="28"/>
      <c r="AB90" s="9"/>
      <c r="AC90" s="28"/>
      <c r="AD90" s="28"/>
      <c r="AE90" s="28"/>
      <c r="AF90" s="28"/>
      <c r="AG90" s="9"/>
      <c r="AH90" s="28"/>
      <c r="AI90" s="28"/>
      <c r="AJ90" s="28"/>
      <c r="AK90" s="28"/>
      <c r="AL90" s="28"/>
    </row>
    <row r="91" spans="1:38" x14ac:dyDescent="0.3">
      <c r="A91" s="16"/>
      <c r="B91" s="26"/>
      <c r="C91" s="24"/>
      <c r="D91" s="24"/>
      <c r="E91" s="24"/>
      <c r="F91" s="24"/>
      <c r="G91" s="24"/>
      <c r="H91" s="24"/>
      <c r="I91" s="24"/>
      <c r="J91" s="24"/>
      <c r="K91" s="24"/>
    </row>
    <row r="92" spans="1:38" x14ac:dyDescent="0.3">
      <c r="A92" s="16"/>
      <c r="B92" s="26"/>
      <c r="C92" s="24"/>
      <c r="D92" s="24"/>
      <c r="E92" s="24"/>
      <c r="F92" s="24"/>
      <c r="G92" s="24"/>
      <c r="H92" s="24"/>
      <c r="I92" s="24"/>
      <c r="J92" s="24"/>
      <c r="K92" s="24"/>
    </row>
    <row r="94" spans="1:38" x14ac:dyDescent="0.3">
      <c r="A94" s="18"/>
      <c r="B94" s="2"/>
      <c r="C94" s="2"/>
      <c r="D94" s="2"/>
      <c r="E94" s="2"/>
      <c r="F94" s="2"/>
      <c r="G94" s="2"/>
      <c r="H94" s="2"/>
      <c r="I94" s="2"/>
      <c r="J94" s="2"/>
      <c r="K94" s="2"/>
      <c r="L94" s="2"/>
      <c r="M94" s="2"/>
      <c r="N94" s="2"/>
      <c r="O94" s="2"/>
      <c r="P94" s="2"/>
    </row>
    <row r="95" spans="1:38" x14ac:dyDescent="0.3">
      <c r="A95" s="12"/>
      <c r="C95" s="4"/>
      <c r="D95" s="4"/>
      <c r="E95" s="4"/>
      <c r="F95" s="4"/>
      <c r="G95" s="4"/>
      <c r="H95" s="4"/>
      <c r="I95" s="4"/>
      <c r="J95" s="4"/>
      <c r="K95" s="4"/>
      <c r="L95" s="4"/>
      <c r="M95" s="4"/>
      <c r="N95" s="4"/>
      <c r="O95" s="4"/>
      <c r="P95" s="4"/>
    </row>
    <row r="96" spans="1:38" x14ac:dyDescent="0.3">
      <c r="B96" s="26"/>
      <c r="C96" s="35"/>
      <c r="D96" s="35"/>
      <c r="E96" s="35"/>
      <c r="F96" s="35"/>
      <c r="G96" s="35"/>
      <c r="H96" s="35"/>
      <c r="I96" s="35"/>
      <c r="J96" s="35"/>
      <c r="K96" s="35"/>
      <c r="L96" s="35"/>
      <c r="M96" s="35"/>
      <c r="N96" s="35"/>
      <c r="O96" s="35"/>
      <c r="P96" s="35"/>
    </row>
    <row r="97" spans="1:16" x14ac:dyDescent="0.3">
      <c r="B97" s="26"/>
      <c r="C97" s="35"/>
      <c r="D97" s="35"/>
      <c r="E97" s="35"/>
      <c r="F97" s="35"/>
      <c r="G97" s="35"/>
      <c r="H97" s="35"/>
      <c r="I97" s="35"/>
      <c r="J97" s="35"/>
      <c r="K97" s="35"/>
      <c r="L97" s="35"/>
      <c r="M97" s="35"/>
      <c r="N97" s="35"/>
      <c r="O97" s="35"/>
      <c r="P97" s="35"/>
    </row>
    <row r="98" spans="1:16" x14ac:dyDescent="0.3">
      <c r="B98" s="16"/>
      <c r="C98" s="35"/>
      <c r="D98" s="35"/>
      <c r="E98" s="35"/>
      <c r="F98" s="35"/>
      <c r="G98" s="35"/>
      <c r="H98" s="35"/>
      <c r="I98" s="35"/>
      <c r="J98" s="35"/>
      <c r="K98" s="35"/>
      <c r="L98" s="35"/>
      <c r="M98" s="35"/>
      <c r="N98" s="35"/>
      <c r="O98" s="35"/>
      <c r="P98" s="35"/>
    </row>
    <row r="99" spans="1:16" x14ac:dyDescent="0.3">
      <c r="B99" s="16"/>
      <c r="C99" s="35"/>
      <c r="D99" s="35"/>
      <c r="E99" s="35"/>
      <c r="F99" s="35"/>
      <c r="G99" s="35"/>
      <c r="H99" s="35"/>
      <c r="I99" s="35"/>
      <c r="J99" s="35"/>
      <c r="K99" s="35"/>
      <c r="L99" s="35"/>
      <c r="M99" s="35"/>
      <c r="N99" s="35"/>
      <c r="O99" s="35"/>
      <c r="P99" s="35"/>
    </row>
    <row r="100" spans="1:16" x14ac:dyDescent="0.3">
      <c r="A100" s="16"/>
      <c r="B100" s="16"/>
      <c r="C100" s="35"/>
      <c r="D100" s="35"/>
      <c r="E100" s="35"/>
      <c r="F100" s="35"/>
      <c r="G100" s="35"/>
      <c r="H100" s="35"/>
      <c r="I100" s="35"/>
      <c r="J100" s="35"/>
      <c r="K100" s="35"/>
      <c r="L100" s="35"/>
      <c r="M100" s="35"/>
      <c r="N100" s="35"/>
      <c r="O100" s="35"/>
      <c r="P100" s="35"/>
    </row>
    <row r="101" spans="1:16" x14ac:dyDescent="0.3">
      <c r="A101" s="16"/>
      <c r="B101" s="16"/>
      <c r="C101" s="35"/>
      <c r="D101" s="35"/>
      <c r="E101" s="35"/>
      <c r="F101" s="35"/>
      <c r="G101" s="35"/>
      <c r="H101" s="35"/>
      <c r="I101" s="35"/>
      <c r="J101" s="35"/>
      <c r="K101" s="35"/>
      <c r="L101" s="35"/>
      <c r="M101" s="35"/>
      <c r="N101" s="35"/>
      <c r="O101" s="35"/>
      <c r="P101" s="35"/>
    </row>
    <row r="102" spans="1:16" x14ac:dyDescent="0.3">
      <c r="A102" s="16"/>
      <c r="B102" s="26"/>
      <c r="C102" s="24"/>
      <c r="D102" s="24"/>
      <c r="E102" s="24"/>
      <c r="F102" s="24"/>
      <c r="G102" s="24"/>
      <c r="H102" s="24"/>
      <c r="I102" s="24"/>
      <c r="J102" s="24"/>
      <c r="K102" s="24"/>
    </row>
    <row r="103" spans="1:16" x14ac:dyDescent="0.3">
      <c r="A103" s="16"/>
      <c r="B103" s="26"/>
      <c r="C103" s="24"/>
      <c r="D103" s="24"/>
      <c r="E103" s="24"/>
      <c r="F103" s="24"/>
      <c r="G103" s="24"/>
      <c r="H103" s="24"/>
      <c r="I103" s="24"/>
      <c r="J103" s="24"/>
      <c r="K103" s="24"/>
    </row>
    <row r="105" spans="1:16" x14ac:dyDescent="0.3">
      <c r="A105" s="18"/>
      <c r="B105" s="2"/>
      <c r="C105" s="2"/>
      <c r="D105" s="2"/>
      <c r="E105" s="2"/>
      <c r="F105" s="2"/>
      <c r="G105" s="2"/>
      <c r="H105" s="2"/>
      <c r="I105" s="2"/>
      <c r="J105" s="2"/>
      <c r="K105" s="2"/>
      <c r="L105" s="2"/>
      <c r="M105" s="2"/>
      <c r="N105" s="2"/>
      <c r="O105" s="2"/>
      <c r="P105" s="2"/>
    </row>
    <row r="106" spans="1:16" x14ac:dyDescent="0.3">
      <c r="A106" s="12"/>
      <c r="C106" s="4"/>
      <c r="D106" s="4"/>
      <c r="E106" s="4"/>
      <c r="F106" s="4"/>
      <c r="G106" s="4"/>
      <c r="H106" s="4"/>
      <c r="I106" s="4"/>
      <c r="J106" s="4"/>
      <c r="K106" s="4"/>
      <c r="L106" s="4"/>
      <c r="M106" s="4"/>
      <c r="N106" s="4"/>
      <c r="O106" s="4"/>
      <c r="P106" s="4"/>
    </row>
    <row r="107" spans="1:16" x14ac:dyDescent="0.3">
      <c r="B107" s="26"/>
      <c r="C107" s="192"/>
      <c r="D107" s="192"/>
      <c r="E107" s="192"/>
      <c r="F107" s="192"/>
      <c r="G107" s="192"/>
      <c r="H107" s="192"/>
      <c r="I107" s="192"/>
      <c r="J107" s="192"/>
      <c r="K107" s="192"/>
      <c r="L107" s="192"/>
      <c r="M107" s="192"/>
      <c r="N107" s="192"/>
      <c r="O107" s="192"/>
      <c r="P107" s="192"/>
    </row>
    <row r="108" spans="1:16" x14ac:dyDescent="0.3">
      <c r="B108" s="26"/>
      <c r="C108" s="192"/>
      <c r="D108" s="192"/>
      <c r="E108" s="192"/>
      <c r="F108" s="192"/>
      <c r="G108" s="192"/>
      <c r="H108" s="192"/>
      <c r="I108" s="192"/>
      <c r="J108" s="192"/>
      <c r="K108" s="192"/>
      <c r="L108" s="192"/>
      <c r="M108" s="192"/>
      <c r="N108" s="192"/>
      <c r="O108" s="192"/>
      <c r="P108" s="192"/>
    </row>
    <row r="109" spans="1:16" x14ac:dyDescent="0.3">
      <c r="B109" s="16"/>
      <c r="C109" s="192"/>
      <c r="D109" s="192"/>
      <c r="E109" s="192"/>
      <c r="F109" s="192"/>
      <c r="G109" s="192"/>
      <c r="H109" s="192"/>
      <c r="I109" s="192"/>
      <c r="J109" s="192"/>
      <c r="K109" s="192"/>
      <c r="L109" s="193"/>
      <c r="M109" s="193"/>
      <c r="N109" s="193"/>
      <c r="O109" s="193"/>
      <c r="P109" s="193"/>
    </row>
    <row r="110" spans="1:16" x14ac:dyDescent="0.3">
      <c r="B110" s="16"/>
      <c r="C110" s="192"/>
      <c r="D110" s="192"/>
      <c r="E110" s="192"/>
      <c r="F110" s="192"/>
      <c r="G110" s="192"/>
      <c r="H110" s="192"/>
      <c r="I110" s="192"/>
      <c r="J110" s="192"/>
      <c r="K110" s="192"/>
      <c r="L110" s="193"/>
      <c r="M110" s="193"/>
      <c r="N110" s="193"/>
      <c r="O110" s="193"/>
      <c r="P110" s="193"/>
    </row>
    <row r="111" spans="1:16" x14ac:dyDescent="0.3">
      <c r="A111" s="16"/>
      <c r="B111" s="16"/>
      <c r="C111" s="192"/>
      <c r="D111" s="192"/>
      <c r="E111" s="192"/>
      <c r="F111" s="192"/>
      <c r="G111" s="192"/>
      <c r="H111" s="192"/>
      <c r="I111" s="192"/>
      <c r="J111" s="192"/>
      <c r="K111" s="192"/>
      <c r="L111" s="193"/>
      <c r="M111" s="193"/>
      <c r="N111" s="193"/>
      <c r="O111" s="193"/>
      <c r="P111" s="193"/>
    </row>
    <row r="112" spans="1:16" x14ac:dyDescent="0.3">
      <c r="A112" s="16"/>
      <c r="B112" s="16"/>
      <c r="C112" s="192"/>
      <c r="D112" s="192"/>
      <c r="E112" s="192"/>
      <c r="F112" s="192"/>
      <c r="G112" s="192"/>
      <c r="H112" s="192"/>
      <c r="I112" s="192"/>
      <c r="J112" s="192"/>
      <c r="K112" s="192"/>
      <c r="L112" s="193"/>
      <c r="M112" s="193"/>
      <c r="N112" s="193"/>
      <c r="O112" s="193"/>
      <c r="P112" s="193"/>
    </row>
    <row r="113" spans="1:24" x14ac:dyDescent="0.3">
      <c r="A113" s="16"/>
      <c r="B113" s="26"/>
      <c r="C113" s="24"/>
      <c r="D113" s="24"/>
      <c r="E113" s="24"/>
      <c r="F113" s="24"/>
      <c r="G113" s="24"/>
      <c r="H113" s="24"/>
      <c r="I113" s="24"/>
      <c r="J113" s="24"/>
      <c r="K113" s="24"/>
    </row>
    <row r="114" spans="1:24" x14ac:dyDescent="0.3">
      <c r="A114" s="16"/>
      <c r="B114" s="26"/>
      <c r="C114" s="24"/>
      <c r="D114" s="24"/>
      <c r="E114" s="24"/>
      <c r="F114" s="24"/>
      <c r="G114" s="24"/>
      <c r="H114" s="24"/>
      <c r="I114" s="24"/>
      <c r="J114" s="24"/>
      <c r="K114" s="24"/>
    </row>
    <row r="116" spans="1:24" x14ac:dyDescent="0.3">
      <c r="A116" s="18"/>
      <c r="B116" s="2"/>
      <c r="C116" s="2"/>
      <c r="D116" s="2"/>
      <c r="E116" s="2"/>
      <c r="F116" s="2"/>
      <c r="G116" s="2"/>
      <c r="H116" s="2"/>
      <c r="I116" s="2"/>
      <c r="J116" s="2"/>
      <c r="K116" s="2"/>
      <c r="L116" s="2"/>
      <c r="M116" s="2"/>
      <c r="N116" s="2"/>
      <c r="O116" s="2"/>
      <c r="P116" s="2"/>
    </row>
    <row r="117" spans="1:24" x14ac:dyDescent="0.3">
      <c r="A117" s="12"/>
      <c r="C117" s="4"/>
      <c r="D117" s="4"/>
      <c r="E117" s="4"/>
      <c r="F117" s="4"/>
      <c r="G117" s="4"/>
      <c r="H117" s="4"/>
      <c r="I117" s="4"/>
      <c r="J117" s="4"/>
      <c r="K117" s="4"/>
      <c r="L117" s="4"/>
      <c r="M117" s="4"/>
      <c r="N117" s="4"/>
      <c r="O117" s="4"/>
      <c r="P117" s="4"/>
    </row>
    <row r="118" spans="1:24" x14ac:dyDescent="0.3">
      <c r="B118" s="26"/>
      <c r="C118" s="13"/>
      <c r="D118" s="13"/>
      <c r="E118" s="13"/>
      <c r="F118" s="13"/>
      <c r="G118" s="13"/>
      <c r="H118" s="13"/>
      <c r="I118" s="13"/>
      <c r="J118" s="13"/>
      <c r="K118" s="13"/>
      <c r="L118" s="13"/>
      <c r="M118" s="13"/>
      <c r="N118" s="13"/>
      <c r="O118" s="13"/>
      <c r="P118" s="13"/>
    </row>
    <row r="119" spans="1:24" x14ac:dyDescent="0.3">
      <c r="B119" s="26"/>
      <c r="C119" s="13"/>
      <c r="D119" s="13"/>
      <c r="E119" s="13"/>
      <c r="F119" s="13"/>
      <c r="G119" s="13"/>
      <c r="H119" s="13"/>
      <c r="I119" s="13"/>
      <c r="J119" s="13"/>
      <c r="K119" s="13"/>
      <c r="L119" s="13"/>
      <c r="M119" s="13"/>
      <c r="N119" s="13"/>
      <c r="O119" s="13"/>
      <c r="P119" s="13"/>
    </row>
    <row r="120" spans="1:24" x14ac:dyDescent="0.3">
      <c r="B120" s="16"/>
      <c r="C120" s="13"/>
      <c r="D120" s="13"/>
      <c r="E120" s="13"/>
      <c r="F120" s="13"/>
      <c r="G120" s="13"/>
      <c r="H120" s="13"/>
      <c r="I120" s="13"/>
      <c r="J120" s="13"/>
      <c r="K120" s="13"/>
      <c r="L120" s="13"/>
      <c r="M120" s="13"/>
      <c r="N120" s="13"/>
      <c r="O120" s="13"/>
      <c r="P120" s="13"/>
    </row>
    <row r="121" spans="1:24" x14ac:dyDescent="0.3">
      <c r="B121" s="16"/>
      <c r="C121" s="13"/>
      <c r="D121" s="13"/>
      <c r="E121" s="13"/>
      <c r="F121" s="13"/>
      <c r="G121" s="13"/>
      <c r="H121" s="13"/>
      <c r="I121" s="13"/>
      <c r="J121" s="13"/>
      <c r="K121" s="13"/>
      <c r="L121" s="13"/>
      <c r="M121" s="13"/>
      <c r="N121" s="13"/>
      <c r="O121" s="13"/>
      <c r="P121" s="13"/>
    </row>
    <row r="122" spans="1:24" x14ac:dyDescent="0.3">
      <c r="A122" s="16"/>
      <c r="B122" s="16"/>
      <c r="C122" s="13"/>
      <c r="D122" s="13"/>
      <c r="E122" s="13"/>
      <c r="F122" s="13"/>
      <c r="G122" s="13"/>
      <c r="H122" s="13"/>
      <c r="I122" s="13"/>
      <c r="J122" s="13"/>
      <c r="K122" s="13"/>
      <c r="L122" s="13"/>
      <c r="M122" s="13"/>
      <c r="N122" s="13"/>
      <c r="O122" s="13"/>
      <c r="P122" s="13"/>
    </row>
    <row r="123" spans="1:24" x14ac:dyDescent="0.3">
      <c r="A123" s="16"/>
      <c r="B123" s="16"/>
      <c r="C123" s="13"/>
      <c r="D123" s="13"/>
      <c r="E123" s="13"/>
      <c r="F123" s="13"/>
      <c r="G123" s="13"/>
      <c r="H123" s="13"/>
      <c r="I123" s="13"/>
      <c r="J123" s="13"/>
      <c r="K123" s="13"/>
      <c r="L123" s="13"/>
      <c r="M123" s="13"/>
      <c r="N123" s="13"/>
      <c r="O123" s="13"/>
      <c r="P123" s="13"/>
    </row>
    <row r="124" spans="1:24" x14ac:dyDescent="0.3">
      <c r="A124" s="16"/>
      <c r="B124" s="26"/>
      <c r="C124" s="24"/>
      <c r="D124" s="24"/>
      <c r="E124" s="24"/>
      <c r="F124" s="24"/>
      <c r="G124" s="24"/>
      <c r="H124" s="24"/>
      <c r="I124" s="24"/>
      <c r="J124" s="24"/>
      <c r="K124" s="24"/>
    </row>
    <row r="125" spans="1:24" x14ac:dyDescent="0.3">
      <c r="A125" s="16"/>
      <c r="B125" s="26"/>
      <c r="C125" s="24"/>
      <c r="D125" s="24"/>
      <c r="E125" s="24"/>
      <c r="F125" s="24"/>
      <c r="G125" s="24"/>
      <c r="H125" s="24"/>
      <c r="I125" s="24"/>
      <c r="J125" s="24"/>
      <c r="K125" s="24"/>
    </row>
    <row r="126" spans="1:24" x14ac:dyDescent="0.3">
      <c r="A126" s="31"/>
      <c r="B126" s="42"/>
      <c r="C126" s="31"/>
      <c r="D126" s="31"/>
      <c r="E126" s="31"/>
      <c r="F126" s="31"/>
      <c r="G126" s="31"/>
      <c r="H126" s="31"/>
      <c r="I126" s="31"/>
      <c r="J126" s="31"/>
      <c r="K126" s="31"/>
      <c r="L126" s="31"/>
      <c r="M126" s="31"/>
      <c r="N126" s="31"/>
      <c r="O126" s="31"/>
      <c r="P126" s="31"/>
      <c r="Q126" s="31"/>
      <c r="R126" s="31"/>
      <c r="S126" s="31"/>
      <c r="T126" s="31"/>
      <c r="U126" s="31"/>
      <c r="V126" s="31"/>
      <c r="W126" s="31"/>
      <c r="X126" s="31"/>
    </row>
    <row r="127" spans="1:24" x14ac:dyDescent="0.3">
      <c r="A127" s="31"/>
      <c r="B127" s="43"/>
      <c r="C127" s="2"/>
      <c r="D127" s="2"/>
      <c r="E127" s="2"/>
      <c r="F127" s="2"/>
      <c r="G127" s="2"/>
      <c r="H127" s="2"/>
      <c r="I127" s="2"/>
      <c r="J127" s="2"/>
      <c r="K127" s="2"/>
      <c r="L127" s="2"/>
      <c r="M127" s="2"/>
      <c r="N127" s="2"/>
      <c r="O127" s="2"/>
      <c r="P127" s="2"/>
      <c r="Q127" s="2"/>
      <c r="R127" s="2"/>
      <c r="S127" s="2"/>
      <c r="T127" s="2"/>
      <c r="U127" s="2"/>
      <c r="V127" s="31"/>
      <c r="W127" s="31"/>
      <c r="X127" s="31"/>
    </row>
    <row r="128" spans="1:24" x14ac:dyDescent="0.3">
      <c r="A128" s="207"/>
      <c r="B128" s="207"/>
      <c r="C128" s="208"/>
      <c r="D128" s="208"/>
      <c r="E128" s="208"/>
      <c r="F128" s="208"/>
      <c r="G128" s="208"/>
      <c r="H128" s="208"/>
      <c r="I128" s="208"/>
      <c r="J128" s="208"/>
      <c r="K128" s="208"/>
      <c r="L128" s="208"/>
      <c r="M128" s="208"/>
      <c r="N128" s="208"/>
      <c r="O128" s="208"/>
      <c r="P128" s="208"/>
      <c r="Q128" s="208"/>
      <c r="R128" s="208"/>
      <c r="S128" s="208"/>
      <c r="T128" s="208"/>
      <c r="U128" s="208"/>
      <c r="V128" s="31"/>
      <c r="W128" s="31"/>
      <c r="X128" s="31"/>
    </row>
    <row r="129" spans="1:24" x14ac:dyDescent="0.3">
      <c r="A129" s="11"/>
      <c r="B129" s="26"/>
      <c r="C129" s="24"/>
      <c r="D129" s="24"/>
      <c r="E129" s="24"/>
      <c r="F129" s="24"/>
      <c r="G129" s="24"/>
      <c r="H129" s="24"/>
      <c r="I129" s="24"/>
      <c r="J129" s="24"/>
      <c r="K129" s="24"/>
    </row>
    <row r="130" spans="1:24" x14ac:dyDescent="0.3">
      <c r="A130" s="31"/>
      <c r="B130" s="42"/>
      <c r="C130" s="31"/>
      <c r="D130" s="31"/>
      <c r="E130" s="31"/>
      <c r="F130" s="31"/>
      <c r="G130" s="31"/>
      <c r="H130" s="31"/>
      <c r="I130" s="31"/>
      <c r="J130" s="31"/>
      <c r="K130" s="31"/>
      <c r="L130" s="31"/>
      <c r="M130" s="31"/>
      <c r="N130" s="31"/>
      <c r="O130" s="31"/>
      <c r="P130" s="31"/>
      <c r="Q130" s="31"/>
      <c r="R130" s="31"/>
      <c r="S130" s="31"/>
      <c r="T130" s="31"/>
      <c r="U130" s="31"/>
      <c r="V130" s="31"/>
      <c r="W130" s="31"/>
      <c r="X130" s="31"/>
    </row>
    <row r="131" spans="1:24" x14ac:dyDescent="0.3">
      <c r="A131" s="31"/>
      <c r="B131" s="43"/>
      <c r="C131" s="2"/>
      <c r="D131" s="2"/>
      <c r="E131" s="2"/>
      <c r="F131" s="2"/>
      <c r="G131" s="2"/>
      <c r="H131" s="2"/>
      <c r="I131" s="2"/>
      <c r="J131" s="2"/>
      <c r="K131" s="2"/>
      <c r="L131" s="2"/>
      <c r="M131" s="2"/>
      <c r="N131" s="2"/>
      <c r="O131" s="2"/>
      <c r="P131" s="2"/>
      <c r="Q131" s="2"/>
      <c r="R131" s="2"/>
      <c r="S131" s="2"/>
      <c r="T131" s="2"/>
      <c r="U131" s="2"/>
      <c r="V131" s="31"/>
      <c r="W131" s="31"/>
      <c r="X131" s="31"/>
    </row>
    <row r="132" spans="1:24" x14ac:dyDescent="0.3">
      <c r="A132" s="207"/>
      <c r="B132" s="207"/>
      <c r="C132" s="208"/>
      <c r="D132" s="208"/>
      <c r="E132" s="208"/>
      <c r="F132" s="208"/>
      <c r="G132" s="208"/>
      <c r="H132" s="208"/>
      <c r="I132" s="208"/>
      <c r="J132" s="208"/>
      <c r="K132" s="208"/>
      <c r="L132" s="208"/>
      <c r="M132" s="208"/>
      <c r="N132" s="208"/>
      <c r="O132" s="208"/>
      <c r="P132" s="208"/>
      <c r="Q132" s="208"/>
      <c r="R132" s="208"/>
      <c r="S132" s="208"/>
      <c r="T132" s="208"/>
      <c r="U132" s="208"/>
      <c r="V132" s="31"/>
      <c r="W132" s="31"/>
      <c r="X132" s="31"/>
    </row>
    <row r="133" spans="1:24" x14ac:dyDescent="0.3">
      <c r="A133" s="16"/>
      <c r="B133" s="26"/>
      <c r="C133" s="9"/>
      <c r="D133" s="9"/>
      <c r="E133" s="9"/>
      <c r="F133" s="9"/>
      <c r="G133" s="9"/>
      <c r="H133" s="9"/>
      <c r="I133" s="9"/>
      <c r="J133" s="9"/>
      <c r="K133" s="9"/>
    </row>
    <row r="134" spans="1:24" x14ac:dyDescent="0.3">
      <c r="A134" s="11"/>
      <c r="B134" s="26"/>
      <c r="C134" s="24"/>
      <c r="D134" s="24"/>
      <c r="E134" s="24"/>
      <c r="F134" s="24"/>
      <c r="G134" s="24"/>
      <c r="H134" s="24"/>
      <c r="I134" s="24"/>
      <c r="J134" s="24"/>
      <c r="K134" s="24"/>
    </row>
    <row r="135" spans="1:24" x14ac:dyDescent="0.3">
      <c r="A135" s="17"/>
      <c r="B135" s="26"/>
      <c r="C135" s="24"/>
      <c r="D135" s="24"/>
      <c r="E135" s="24"/>
      <c r="F135" s="24"/>
      <c r="G135" s="24"/>
      <c r="H135" s="24"/>
      <c r="I135" s="24"/>
      <c r="J135" s="24"/>
      <c r="K135" s="24"/>
    </row>
    <row r="136" spans="1:24" x14ac:dyDescent="0.3">
      <c r="A136" s="11"/>
      <c r="B136" s="26"/>
      <c r="C136" s="24"/>
      <c r="D136" s="24"/>
      <c r="E136" s="24"/>
      <c r="F136" s="24"/>
      <c r="G136" s="24"/>
      <c r="H136" s="24"/>
      <c r="I136" s="24"/>
      <c r="J136" s="24"/>
      <c r="K136" s="24"/>
    </row>
    <row r="137" spans="1:24" x14ac:dyDescent="0.3">
      <c r="A137" s="11"/>
      <c r="B137" s="26"/>
      <c r="C137" s="24"/>
      <c r="D137" s="24"/>
      <c r="E137" s="24"/>
      <c r="F137" s="24"/>
      <c r="G137" s="24"/>
      <c r="H137" s="24"/>
      <c r="I137" s="24"/>
      <c r="J137" s="24"/>
      <c r="K137" s="24"/>
    </row>
    <row r="138" spans="1:24" x14ac:dyDescent="0.3">
      <c r="A138" s="11"/>
      <c r="B138" s="26"/>
      <c r="C138" s="24"/>
      <c r="D138" s="24"/>
      <c r="E138" s="24"/>
      <c r="F138" s="24"/>
      <c r="G138" s="24"/>
      <c r="H138" s="24"/>
      <c r="I138" s="24"/>
      <c r="J138" s="24"/>
      <c r="K138" s="24"/>
    </row>
    <row r="139" spans="1:24" x14ac:dyDescent="0.3">
      <c r="A139" s="16"/>
      <c r="B139" s="26"/>
      <c r="C139" s="24"/>
      <c r="D139" s="24"/>
      <c r="E139" s="24"/>
      <c r="F139" s="24"/>
      <c r="G139" s="24"/>
      <c r="H139" s="24"/>
      <c r="I139" s="24"/>
      <c r="J139" s="24"/>
      <c r="K139" s="24"/>
    </row>
    <row r="140" spans="1:24" x14ac:dyDescent="0.3">
      <c r="A140" s="16"/>
      <c r="B140" s="26"/>
      <c r="C140" s="24"/>
      <c r="D140" s="24"/>
      <c r="E140" s="24"/>
      <c r="F140" s="24"/>
      <c r="G140" s="24"/>
      <c r="H140" s="24"/>
      <c r="I140" s="24"/>
      <c r="J140" s="24"/>
      <c r="K140" s="24"/>
    </row>
    <row r="141" spans="1:24" x14ac:dyDescent="0.3">
      <c r="A141" s="16"/>
      <c r="B141" s="26"/>
      <c r="C141" s="24"/>
      <c r="D141" s="24"/>
      <c r="E141" s="24"/>
      <c r="F141" s="24"/>
      <c r="G141" s="24"/>
      <c r="H141" s="24"/>
      <c r="I141" s="24"/>
      <c r="J141" s="24"/>
      <c r="K141" s="24"/>
    </row>
    <row r="142" spans="1:24" x14ac:dyDescent="0.3">
      <c r="A142" s="16"/>
      <c r="B142" s="26"/>
      <c r="C142" s="24"/>
      <c r="D142" s="24"/>
      <c r="E142" s="24"/>
      <c r="F142" s="24"/>
      <c r="G142" s="24"/>
      <c r="H142" s="24"/>
      <c r="I142" s="24"/>
      <c r="J142" s="24"/>
      <c r="K142" s="24"/>
    </row>
    <row r="143" spans="1:24" x14ac:dyDescent="0.3">
      <c r="B143" s="16"/>
      <c r="C143" s="24"/>
      <c r="D143" s="24"/>
      <c r="E143" s="24"/>
      <c r="F143" s="24"/>
      <c r="G143" s="24"/>
      <c r="H143" s="24"/>
      <c r="I143" s="24"/>
      <c r="J143" s="24"/>
      <c r="K143" s="24"/>
    </row>
    <row r="144" spans="1:24" x14ac:dyDescent="0.3">
      <c r="B144" s="16"/>
      <c r="C144" s="24"/>
      <c r="D144" s="24"/>
      <c r="E144" s="24"/>
      <c r="F144" s="24"/>
      <c r="G144" s="24"/>
      <c r="H144" s="24"/>
      <c r="I144" s="24"/>
      <c r="J144" s="24"/>
      <c r="K144" s="24"/>
    </row>
    <row r="145" spans="2:11" x14ac:dyDescent="0.3">
      <c r="B145" s="16"/>
      <c r="C145" s="24"/>
      <c r="D145" s="24"/>
      <c r="E145" s="24"/>
      <c r="F145" s="24"/>
      <c r="G145" s="24"/>
      <c r="H145" s="24"/>
      <c r="I145" s="24"/>
      <c r="J145" s="24"/>
      <c r="K145" s="24"/>
    </row>
    <row r="146" spans="2:11" x14ac:dyDescent="0.3">
      <c r="B146" s="16"/>
      <c r="C146" s="24"/>
      <c r="D146" s="24"/>
      <c r="E146" s="24"/>
      <c r="F146" s="24"/>
      <c r="G146" s="24"/>
      <c r="H146" s="24"/>
      <c r="I146" s="24"/>
      <c r="J146" s="24"/>
      <c r="K146" s="24"/>
    </row>
    <row r="147" spans="2:11" x14ac:dyDescent="0.3">
      <c r="B147" s="16"/>
      <c r="C147" s="24"/>
      <c r="D147" s="24"/>
      <c r="E147" s="24"/>
      <c r="F147" s="24"/>
      <c r="G147" s="24"/>
      <c r="H147" s="24"/>
      <c r="I147" s="24"/>
      <c r="J147" s="24"/>
      <c r="K147" s="24"/>
    </row>
    <row r="148" spans="2:11" x14ac:dyDescent="0.3">
      <c r="B148" s="16"/>
      <c r="C148" s="24"/>
      <c r="D148" s="24"/>
      <c r="E148" s="24"/>
      <c r="F148" s="24"/>
      <c r="G148" s="24"/>
      <c r="H148" s="24"/>
      <c r="I148" s="24"/>
      <c r="J148" s="24"/>
      <c r="K148" s="24"/>
    </row>
  </sheetData>
  <mergeCells count="1">
    <mergeCell ref="A1:W1"/>
  </mergeCells>
  <phoneticPr fontId="25" type="noConversion"/>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7E376-3744-4C37-9702-84BD43F3A1C5}">
  <sheetPr codeName="Sheet14">
    <tabColor theme="9" tint="0.59999389629810485"/>
    <pageSetUpPr fitToPage="1"/>
  </sheetPr>
  <dimension ref="A1:BD56"/>
  <sheetViews>
    <sheetView showGridLines="0" zoomScale="85" zoomScaleNormal="85" zoomScaleSheetLayoutView="30" zoomScalePageLayoutView="150" workbookViewId="0">
      <selection activeCell="M40" sqref="M40:M44"/>
    </sheetView>
  </sheetViews>
  <sheetFormatPr defaultColWidth="0" defaultRowHeight="18.75" customHeight="1" zeroHeight="1" outlineLevelCol="1" x14ac:dyDescent="0.3"/>
  <cols>
    <col min="1" max="1" width="3.5546875" style="801" customWidth="1"/>
    <col min="2" max="2" width="4.44140625" style="801" customWidth="1"/>
    <col min="3" max="3" width="3.44140625" style="801" customWidth="1"/>
    <col min="4" max="4" width="23.5546875" style="801" customWidth="1"/>
    <col min="5" max="5" width="20.109375" style="802" customWidth="1"/>
    <col min="6" max="6" width="14" style="801" customWidth="1"/>
    <col min="7" max="7" width="4.44140625" style="801" customWidth="1"/>
    <col min="8" max="8" width="3.5546875" style="801" customWidth="1"/>
    <col min="9" max="9" width="4.44140625" style="801" customWidth="1"/>
    <col min="10" max="10" width="4" style="801" customWidth="1"/>
    <col min="11" max="11" width="30.44140625" style="801" customWidth="1"/>
    <col min="12" max="12" width="10.5546875" style="801" customWidth="1"/>
    <col min="13" max="13" width="15.109375" style="801" customWidth="1"/>
    <col min="14" max="14" width="17.88671875" style="801" customWidth="1" outlineLevel="1"/>
    <col min="15" max="15" width="14" style="801" customWidth="1" outlineLevel="1"/>
    <col min="16" max="16" width="4.44140625" style="801" customWidth="1"/>
    <col min="17" max="17" width="3.5546875" style="801" customWidth="1"/>
    <col min="18" max="19" width="4.44140625" style="801" customWidth="1"/>
    <col min="20" max="20" width="30.44140625" style="801" customWidth="1"/>
    <col min="21" max="21" width="13.44140625" style="801" customWidth="1"/>
    <col min="22" max="22" width="14" style="801" customWidth="1"/>
    <col min="23" max="23" width="4.44140625" style="801" customWidth="1"/>
    <col min="24" max="24" width="3.5546875" style="801" customWidth="1"/>
    <col min="25" max="26" width="4.44140625" style="801" customWidth="1"/>
    <col min="27" max="27" width="30" style="801" customWidth="1"/>
    <col min="28" max="28" width="35.5546875" style="801" bestFit="1" customWidth="1"/>
    <col min="29" max="29" width="14" style="801" customWidth="1"/>
    <col min="30" max="30" width="4.44140625" style="801" customWidth="1"/>
    <col min="31" max="31" width="3.5546875" style="801" customWidth="1"/>
    <col min="32" max="56" width="13.44140625" style="801" hidden="1" customWidth="1"/>
    <col min="57" max="16384" width="8.5546875" style="801" hidden="1"/>
  </cols>
  <sheetData>
    <row r="1" spans="1:33" s="798" customFormat="1" ht="18" customHeight="1" x14ac:dyDescent="0.3">
      <c r="A1" s="797" t="s">
        <v>627</v>
      </c>
      <c r="E1" s="799"/>
    </row>
    <row r="2" spans="1:33" ht="18.75" customHeight="1" x14ac:dyDescent="0.3">
      <c r="A2" s="800" t="s">
        <v>154</v>
      </c>
      <c r="P2" s="803"/>
      <c r="Q2" s="803"/>
      <c r="R2" s="803"/>
      <c r="S2" s="803"/>
      <c r="T2" s="803"/>
      <c r="U2" s="803"/>
      <c r="V2" s="803"/>
      <c r="W2" s="803"/>
      <c r="X2" s="803"/>
      <c r="Y2" s="803"/>
      <c r="Z2" s="803"/>
      <c r="AA2" s="803"/>
      <c r="AB2" s="803"/>
      <c r="AC2" s="803"/>
      <c r="AD2" s="803"/>
      <c r="AE2" s="803"/>
      <c r="AF2" s="803"/>
      <c r="AG2" s="803"/>
    </row>
    <row r="3" spans="1:33" ht="18.75" customHeight="1" x14ac:dyDescent="0.3">
      <c r="A3" s="804"/>
      <c r="C3" s="804"/>
      <c r="P3" s="805"/>
      <c r="Q3" s="803"/>
      <c r="R3" s="803"/>
      <c r="S3" s="803"/>
      <c r="T3" s="803"/>
      <c r="U3" s="803"/>
      <c r="V3" s="803"/>
      <c r="W3" s="803"/>
      <c r="X3" s="803"/>
      <c r="Y3" s="803"/>
      <c r="Z3" s="803"/>
      <c r="AA3" s="803"/>
      <c r="AB3" s="803"/>
      <c r="AC3" s="803"/>
      <c r="AD3" s="803"/>
      <c r="AE3" s="803"/>
      <c r="AF3" s="803"/>
      <c r="AG3" s="803"/>
    </row>
    <row r="4" spans="1:33" ht="18.75" customHeight="1" x14ac:dyDescent="0.3">
      <c r="A4" s="806" t="s">
        <v>155</v>
      </c>
      <c r="P4" s="805"/>
      <c r="Q4" s="803"/>
      <c r="R4" s="803"/>
      <c r="S4" s="803"/>
      <c r="T4" s="803"/>
      <c r="U4" s="803"/>
      <c r="V4" s="803"/>
      <c r="W4" s="803"/>
      <c r="X4" s="803"/>
      <c r="Y4" s="803"/>
      <c r="Z4" s="803"/>
      <c r="AA4" s="803"/>
      <c r="AB4" s="803"/>
      <c r="AC4" s="803"/>
      <c r="AD4" s="803"/>
      <c r="AE4" s="803"/>
      <c r="AF4" s="803"/>
      <c r="AG4" s="803"/>
    </row>
    <row r="5" spans="1:33" ht="18.75" customHeight="1" x14ac:dyDescent="0.3">
      <c r="F5" s="284"/>
      <c r="P5" s="807"/>
      <c r="Q5" s="807"/>
      <c r="R5" s="807"/>
      <c r="S5" s="807"/>
      <c r="T5" s="807"/>
      <c r="U5" s="807"/>
      <c r="V5" s="807"/>
      <c r="W5" s="807"/>
      <c r="X5" s="807"/>
      <c r="Y5" s="807"/>
      <c r="Z5" s="807"/>
      <c r="AA5" s="807"/>
      <c r="AB5" s="807"/>
      <c r="AC5" s="807"/>
      <c r="AD5" s="807"/>
      <c r="AE5" s="807"/>
      <c r="AF5" s="807"/>
      <c r="AG5" s="807"/>
    </row>
    <row r="6" spans="1:33" ht="18.75" customHeight="1" x14ac:dyDescent="0.3">
      <c r="B6" s="808"/>
      <c r="C6" s="451"/>
      <c r="D6" s="451"/>
      <c r="E6" s="451"/>
      <c r="F6" s="451"/>
      <c r="G6" s="809"/>
      <c r="I6" s="810"/>
      <c r="J6" s="451"/>
      <c r="K6" s="451"/>
      <c r="L6" s="451"/>
      <c r="M6" s="451"/>
      <c r="N6" s="451"/>
      <c r="O6" s="451"/>
      <c r="P6" s="809"/>
      <c r="Q6" s="803"/>
      <c r="R6" s="811"/>
      <c r="S6" s="812"/>
      <c r="T6" s="812"/>
      <c r="U6" s="812"/>
      <c r="V6" s="812"/>
      <c r="W6" s="813"/>
      <c r="X6" s="803"/>
      <c r="Y6" s="814"/>
      <c r="Z6" s="812"/>
      <c r="AA6" s="812"/>
      <c r="AB6" s="812"/>
      <c r="AC6" s="812"/>
      <c r="AD6" s="813"/>
      <c r="AE6" s="803"/>
      <c r="AF6" s="803"/>
      <c r="AG6" s="803"/>
    </row>
    <row r="7" spans="1:33" ht="18.75" customHeight="1" x14ac:dyDescent="0.3">
      <c r="B7" s="815"/>
      <c r="G7" s="816"/>
      <c r="H7" s="817"/>
      <c r="I7" s="818"/>
      <c r="P7" s="816"/>
      <c r="Q7" s="807"/>
      <c r="R7" s="818"/>
      <c r="W7" s="816"/>
      <c r="X7" s="807"/>
      <c r="Y7" s="815"/>
      <c r="AB7" s="802"/>
      <c r="AD7" s="816"/>
      <c r="AE7" s="807"/>
      <c r="AF7" s="807"/>
      <c r="AG7" s="807"/>
    </row>
    <row r="8" spans="1:33" ht="18.75" customHeight="1" x14ac:dyDescent="0.3">
      <c r="B8" s="815"/>
      <c r="C8" s="819"/>
      <c r="D8" s="453" t="s">
        <v>11</v>
      </c>
      <c r="E8" s="454" t="s">
        <v>12</v>
      </c>
      <c r="F8" s="820" t="s">
        <v>161</v>
      </c>
      <c r="G8" s="816"/>
      <c r="I8" s="818"/>
      <c r="J8" s="819"/>
      <c r="K8" s="453" t="s">
        <v>11</v>
      </c>
      <c r="L8" s="454" t="s">
        <v>12</v>
      </c>
      <c r="M8" s="820" t="s">
        <v>161</v>
      </c>
      <c r="N8" s="821"/>
      <c r="O8" s="821"/>
      <c r="P8" s="816"/>
      <c r="Q8" s="822"/>
      <c r="R8" s="818"/>
      <c r="S8" s="819"/>
      <c r="T8" s="453" t="s">
        <v>11</v>
      </c>
      <c r="U8" s="454" t="s">
        <v>12</v>
      </c>
      <c r="V8" s="820" t="s">
        <v>161</v>
      </c>
      <c r="W8" s="816"/>
      <c r="X8" s="822"/>
      <c r="Y8" s="815"/>
      <c r="Z8" s="819"/>
      <c r="AA8" s="453" t="s">
        <v>11</v>
      </c>
      <c r="AB8" s="454" t="s">
        <v>12</v>
      </c>
      <c r="AC8" s="820" t="s">
        <v>161</v>
      </c>
      <c r="AD8" s="816"/>
      <c r="AE8" s="822"/>
      <c r="AF8" s="822"/>
      <c r="AG8" s="822"/>
    </row>
    <row r="9" spans="1:33" ht="18.75" customHeight="1" x14ac:dyDescent="0.3">
      <c r="B9" s="815"/>
      <c r="C9" s="823" t="s">
        <v>162</v>
      </c>
      <c r="D9" s="824"/>
      <c r="G9" s="816"/>
      <c r="I9" s="818"/>
      <c r="J9" s="823" t="s">
        <v>108</v>
      </c>
      <c r="K9" s="823"/>
      <c r="L9" s="825"/>
      <c r="M9" s="826"/>
      <c r="N9" s="805"/>
      <c r="O9" s="805"/>
      <c r="P9" s="816"/>
      <c r="Q9" s="822"/>
      <c r="R9" s="818"/>
      <c r="S9" s="827" t="s">
        <v>163</v>
      </c>
      <c r="T9" s="825"/>
      <c r="U9" s="828"/>
      <c r="V9" s="829"/>
      <c r="W9" s="816"/>
      <c r="X9" s="822"/>
      <c r="Y9" s="818"/>
      <c r="Z9" s="823" t="s">
        <v>164</v>
      </c>
      <c r="AB9" s="802"/>
      <c r="AD9" s="816"/>
      <c r="AE9" s="822"/>
      <c r="AF9" s="822"/>
      <c r="AG9" s="822"/>
    </row>
    <row r="10" spans="1:33" ht="18.75" customHeight="1" x14ac:dyDescent="0.3">
      <c r="B10" s="815"/>
      <c r="C10" s="823"/>
      <c r="D10" s="830" t="s">
        <v>165</v>
      </c>
      <c r="E10" s="831" t="s">
        <v>166</v>
      </c>
      <c r="F10" s="832">
        <f>EDATE(F12,-F11)</f>
        <v>46388</v>
      </c>
      <c r="G10" s="816"/>
      <c r="I10" s="818"/>
      <c r="K10" s="833" t="s">
        <v>167</v>
      </c>
      <c r="L10" s="831" t="s">
        <v>168</v>
      </c>
      <c r="M10" s="834">
        <v>0</v>
      </c>
      <c r="N10" s="835"/>
      <c r="O10" s="835"/>
      <c r="P10" s="816"/>
      <c r="Q10" s="822"/>
      <c r="R10" s="818"/>
      <c r="S10" s="827"/>
      <c r="T10" s="801" t="s">
        <v>169</v>
      </c>
      <c r="U10" s="825" t="s">
        <v>7</v>
      </c>
      <c r="V10" s="51">
        <v>0</v>
      </c>
      <c r="W10" s="816"/>
      <c r="X10" s="822"/>
      <c r="Y10" s="818"/>
      <c r="AA10" s="801" t="s">
        <v>77</v>
      </c>
      <c r="AB10" s="825"/>
      <c r="AC10" s="285"/>
      <c r="AD10" s="816"/>
      <c r="AE10" s="822"/>
      <c r="AF10" s="822"/>
      <c r="AG10" s="822"/>
    </row>
    <row r="11" spans="1:33" ht="18.75" customHeight="1" x14ac:dyDescent="0.3">
      <c r="B11" s="815"/>
      <c r="C11" s="823"/>
      <c r="D11" s="830" t="s">
        <v>170</v>
      </c>
      <c r="E11" s="831" t="s">
        <v>171</v>
      </c>
      <c r="F11" s="836">
        <v>12</v>
      </c>
      <c r="G11" s="816"/>
      <c r="I11" s="818"/>
      <c r="K11" s="830" t="s">
        <v>172</v>
      </c>
      <c r="L11" s="831" t="s">
        <v>173</v>
      </c>
      <c r="M11" s="834">
        <v>0</v>
      </c>
      <c r="N11" s="835"/>
      <c r="O11" s="835"/>
      <c r="P11" s="816"/>
      <c r="Q11" s="803"/>
      <c r="R11" s="818"/>
      <c r="S11" s="827"/>
      <c r="T11" s="837" t="s">
        <v>174</v>
      </c>
      <c r="U11" s="825" t="s">
        <v>9</v>
      </c>
      <c r="V11" s="52">
        <v>0</v>
      </c>
      <c r="W11" s="816"/>
      <c r="X11" s="803"/>
      <c r="Y11" s="818"/>
      <c r="AA11" s="837" t="s">
        <v>78</v>
      </c>
      <c r="AB11" s="825" t="s">
        <v>9</v>
      </c>
      <c r="AC11" s="199">
        <f>'Gap Calculator'!E55</f>
        <v>0</v>
      </c>
      <c r="AD11" s="816"/>
      <c r="AE11" s="803"/>
      <c r="AF11" s="803"/>
      <c r="AG11" s="803"/>
    </row>
    <row r="12" spans="1:33" ht="18.75" customHeight="1" x14ac:dyDescent="0.3">
      <c r="B12" s="818"/>
      <c r="D12" s="801" t="s">
        <v>175</v>
      </c>
      <c r="E12" s="825" t="s">
        <v>166</v>
      </c>
      <c r="F12" s="838">
        <f>DATE(projectStartYear,1,1)</f>
        <v>46753</v>
      </c>
      <c r="G12" s="816"/>
      <c r="I12" s="818"/>
      <c r="K12" s="833" t="s">
        <v>176</v>
      </c>
      <c r="L12" s="831" t="s">
        <v>7</v>
      </c>
      <c r="M12" s="834">
        <v>0</v>
      </c>
      <c r="N12" s="839"/>
      <c r="O12" s="839"/>
      <c r="P12" s="816"/>
      <c r="Q12" s="803"/>
      <c r="R12" s="818"/>
      <c r="T12" s="801" t="s">
        <v>177</v>
      </c>
      <c r="U12" s="828"/>
      <c r="V12" s="53"/>
      <c r="W12" s="816"/>
      <c r="X12" s="803"/>
      <c r="Y12" s="818"/>
      <c r="AA12" s="837" t="s">
        <v>79</v>
      </c>
      <c r="AB12" s="825" t="s">
        <v>9</v>
      </c>
      <c r="AC12" s="200">
        <f>1-AC11</f>
        <v>1</v>
      </c>
      <c r="AD12" s="816"/>
      <c r="AE12" s="803"/>
      <c r="AF12" s="803"/>
      <c r="AG12" s="803"/>
    </row>
    <row r="13" spans="1:33" ht="18.75" customHeight="1" x14ac:dyDescent="0.3">
      <c r="B13" s="818"/>
      <c r="D13" s="801" t="s">
        <v>21</v>
      </c>
      <c r="E13" s="825" t="s">
        <v>22</v>
      </c>
      <c r="F13" s="840">
        <f>'Gap Calculator'!E28</f>
        <v>20</v>
      </c>
      <c r="G13" s="816"/>
      <c r="I13" s="818"/>
      <c r="K13" s="833" t="s">
        <v>178</v>
      </c>
      <c r="L13" s="831" t="s">
        <v>7</v>
      </c>
      <c r="M13" s="834">
        <v>0</v>
      </c>
      <c r="N13" s="839"/>
      <c r="O13" s="839"/>
      <c r="P13" s="816"/>
      <c r="Q13" s="803"/>
      <c r="R13" s="818"/>
      <c r="T13" s="841" t="s">
        <v>179</v>
      </c>
      <c r="U13" s="842" t="s">
        <v>7</v>
      </c>
      <c r="V13" s="51">
        <f>'Gap Calculator'!E48</f>
        <v>385</v>
      </c>
      <c r="W13" s="816"/>
      <c r="X13" s="803"/>
      <c r="Y13" s="818"/>
      <c r="AA13" s="801" t="s">
        <v>180</v>
      </c>
      <c r="AB13" s="802"/>
      <c r="AC13" s="54"/>
      <c r="AD13" s="816"/>
      <c r="AE13" s="803"/>
      <c r="AF13" s="803"/>
      <c r="AG13" s="803"/>
    </row>
    <row r="14" spans="1:33" ht="18.75" customHeight="1" x14ac:dyDescent="0.3">
      <c r="B14" s="818"/>
      <c r="D14" s="803" t="s">
        <v>181</v>
      </c>
      <c r="E14" s="825" t="s">
        <v>166</v>
      </c>
      <c r="F14" s="838">
        <f>EDATE(F12,investmentTerm*12-1)</f>
        <v>54027</v>
      </c>
      <c r="G14" s="816"/>
      <c r="I14" s="818"/>
      <c r="K14" s="833" t="s">
        <v>58</v>
      </c>
      <c r="L14" s="831" t="s">
        <v>7</v>
      </c>
      <c r="M14" s="834">
        <v>0</v>
      </c>
      <c r="N14" s="835"/>
      <c r="O14" s="835"/>
      <c r="P14" s="816"/>
      <c r="Q14" s="803"/>
      <c r="R14" s="818"/>
      <c r="T14" s="841" t="s">
        <v>182</v>
      </c>
      <c r="U14" s="842" t="s">
        <v>7</v>
      </c>
      <c r="V14" s="51">
        <f>V13</f>
        <v>385</v>
      </c>
      <c r="W14" s="816"/>
      <c r="X14" s="803"/>
      <c r="Y14" s="818"/>
      <c r="AA14" s="837" t="s">
        <v>183</v>
      </c>
      <c r="AB14" s="802" t="s">
        <v>7</v>
      </c>
      <c r="AC14" s="843">
        <v>0</v>
      </c>
      <c r="AD14" s="816"/>
      <c r="AE14" s="803"/>
      <c r="AF14" s="803"/>
      <c r="AG14" s="803"/>
    </row>
    <row r="15" spans="1:33" ht="18.75" customHeight="1" x14ac:dyDescent="0.3">
      <c r="B15" s="818"/>
      <c r="G15" s="816"/>
      <c r="I15" s="818"/>
      <c r="K15" s="833" t="s">
        <v>184</v>
      </c>
      <c r="L15" s="831" t="s">
        <v>7</v>
      </c>
      <c r="M15" s="834">
        <v>0</v>
      </c>
      <c r="N15" s="835"/>
      <c r="O15" s="835"/>
      <c r="P15" s="816"/>
      <c r="Q15" s="844"/>
      <c r="R15" s="818"/>
      <c r="S15" s="827"/>
      <c r="T15" s="841" t="s">
        <v>185</v>
      </c>
      <c r="U15" s="842" t="s">
        <v>7</v>
      </c>
      <c r="V15" s="51">
        <f>V13</f>
        <v>385</v>
      </c>
      <c r="W15" s="816"/>
      <c r="X15" s="844"/>
      <c r="Y15" s="818"/>
      <c r="AA15" s="837" t="s">
        <v>186</v>
      </c>
      <c r="AB15" s="802" t="s">
        <v>171</v>
      </c>
      <c r="AC15" s="51">
        <f>'Gap Calculator'!E61</f>
        <v>10</v>
      </c>
      <c r="AD15" s="816"/>
      <c r="AE15" s="844"/>
      <c r="AF15" s="844"/>
      <c r="AG15" s="844"/>
    </row>
    <row r="16" spans="1:33" ht="18.75" customHeight="1" x14ac:dyDescent="0.3">
      <c r="B16" s="818"/>
      <c r="C16" s="823" t="s">
        <v>139</v>
      </c>
      <c r="E16" s="825"/>
      <c r="F16" s="803"/>
      <c r="G16" s="816"/>
      <c r="I16" s="818"/>
      <c r="J16" s="823"/>
      <c r="K16" s="833" t="s">
        <v>187</v>
      </c>
      <c r="L16" s="831" t="s">
        <v>7</v>
      </c>
      <c r="M16" s="834">
        <v>0</v>
      </c>
      <c r="N16" s="835"/>
      <c r="O16" s="835"/>
      <c r="P16" s="816"/>
      <c r="Q16" s="845"/>
      <c r="R16" s="818"/>
      <c r="S16" s="827"/>
      <c r="T16" s="846" t="s">
        <v>174</v>
      </c>
      <c r="U16" s="825" t="s">
        <v>9</v>
      </c>
      <c r="V16" s="52">
        <f>'Gap Calculator'!E50</f>
        <v>0.02</v>
      </c>
      <c r="W16" s="816"/>
      <c r="X16" s="845"/>
      <c r="Y16" s="818"/>
      <c r="AA16" s="837" t="s">
        <v>188</v>
      </c>
      <c r="AB16" s="802" t="s">
        <v>9</v>
      </c>
      <c r="AC16" s="52">
        <f>'Gap Calculator'!E60</f>
        <v>7.0000000000000007E-2</v>
      </c>
      <c r="AD16" s="816"/>
      <c r="AE16" s="845"/>
      <c r="AF16" s="845"/>
      <c r="AG16" s="845"/>
    </row>
    <row r="17" spans="2:33" ht="18.75" customHeight="1" x14ac:dyDescent="0.3">
      <c r="B17" s="818"/>
      <c r="D17" s="847" t="s">
        <v>189</v>
      </c>
      <c r="E17" s="825" t="s">
        <v>25</v>
      </c>
      <c r="F17" s="215">
        <f>ESSCap</f>
        <v>5.0000000000000001E-3</v>
      </c>
      <c r="G17" s="816"/>
      <c r="I17" s="818"/>
      <c r="J17" s="823"/>
      <c r="K17" s="833" t="s">
        <v>190</v>
      </c>
      <c r="L17" s="831" t="s">
        <v>7</v>
      </c>
      <c r="M17" s="834">
        <v>0</v>
      </c>
      <c r="N17" s="835"/>
      <c r="O17" s="835"/>
      <c r="P17" s="816"/>
      <c r="Q17" s="845"/>
      <c r="R17" s="818"/>
      <c r="S17" s="827"/>
      <c r="T17" s="801" t="s">
        <v>191</v>
      </c>
      <c r="U17" s="842" t="s">
        <v>7</v>
      </c>
      <c r="V17" s="51">
        <v>0</v>
      </c>
      <c r="W17" s="816"/>
      <c r="X17" s="845"/>
      <c r="Y17" s="818"/>
      <c r="AA17" s="837" t="s">
        <v>192</v>
      </c>
      <c r="AB17" s="802" t="s">
        <v>193</v>
      </c>
      <c r="AC17" s="52">
        <v>0</v>
      </c>
      <c r="AD17" s="816"/>
      <c r="AE17" s="845"/>
      <c r="AF17" s="845"/>
      <c r="AG17" s="845"/>
    </row>
    <row r="18" spans="2:33" ht="18.75" customHeight="1" x14ac:dyDescent="0.3">
      <c r="B18" s="818"/>
      <c r="D18" s="847" t="s">
        <v>194</v>
      </c>
      <c r="E18" s="825" t="s">
        <v>37</v>
      </c>
      <c r="F18" s="55">
        <f>'Gap Calculator'!E32</f>
        <v>2</v>
      </c>
      <c r="G18" s="816"/>
      <c r="I18" s="818"/>
      <c r="K18" s="830" t="s">
        <v>195</v>
      </c>
      <c r="L18" s="831" t="s">
        <v>50</v>
      </c>
      <c r="M18" s="834">
        <v>0</v>
      </c>
      <c r="N18" s="835"/>
      <c r="O18" s="835"/>
      <c r="P18" s="816"/>
      <c r="Q18" s="845"/>
      <c r="R18" s="818"/>
      <c r="S18" s="827"/>
      <c r="T18" s="837" t="s">
        <v>174</v>
      </c>
      <c r="U18" s="825" t="s">
        <v>9</v>
      </c>
      <c r="V18" s="52">
        <v>0</v>
      </c>
      <c r="W18" s="816"/>
      <c r="X18" s="845"/>
      <c r="Y18" s="818"/>
      <c r="AA18" s="837" t="s">
        <v>196</v>
      </c>
      <c r="AB18" s="802" t="s">
        <v>197</v>
      </c>
      <c r="AC18" s="52">
        <v>0</v>
      </c>
      <c r="AD18" s="816"/>
      <c r="AE18" s="845"/>
      <c r="AF18" s="845"/>
      <c r="AG18" s="845"/>
    </row>
    <row r="19" spans="2:33" ht="18.75" customHeight="1" x14ac:dyDescent="0.3">
      <c r="B19" s="818"/>
      <c r="D19" s="847" t="s">
        <v>38</v>
      </c>
      <c r="E19" s="825" t="s">
        <v>39</v>
      </c>
      <c r="F19" s="214">
        <f>'Gap Calculator'!E33</f>
        <v>0.01</v>
      </c>
      <c r="G19" s="816"/>
      <c r="I19" s="818"/>
      <c r="K19" s="830" t="s">
        <v>198</v>
      </c>
      <c r="L19" s="831" t="s">
        <v>7</v>
      </c>
      <c r="M19" s="834">
        <v>0</v>
      </c>
      <c r="N19" s="845"/>
      <c r="O19" s="845"/>
      <c r="P19" s="816"/>
      <c r="Q19" s="803"/>
      <c r="R19" s="818"/>
      <c r="S19" s="827"/>
      <c r="T19" s="830" t="s">
        <v>199</v>
      </c>
      <c r="U19" s="848" t="s">
        <v>7</v>
      </c>
      <c r="V19" s="220">
        <v>0</v>
      </c>
      <c r="W19" s="816"/>
      <c r="X19" s="803"/>
      <c r="Y19" s="818"/>
      <c r="AA19" s="837" t="s">
        <v>200</v>
      </c>
      <c r="AB19" s="849" t="s">
        <v>201</v>
      </c>
      <c r="AC19" s="198">
        <f>'Gap Calculator'!E59</f>
        <v>1</v>
      </c>
      <c r="AD19" s="816"/>
      <c r="AE19" s="803"/>
      <c r="AF19" s="803"/>
      <c r="AG19" s="803"/>
    </row>
    <row r="20" spans="2:33" ht="18.75" customHeight="1" x14ac:dyDescent="0.3">
      <c r="B20" s="818"/>
      <c r="D20" s="847" t="s">
        <v>40</v>
      </c>
      <c r="E20" s="825" t="s">
        <v>9</v>
      </c>
      <c r="F20" s="56">
        <f>'Gap Calculator'!E34</f>
        <v>0.85</v>
      </c>
      <c r="G20" s="816"/>
      <c r="I20" s="818"/>
      <c r="K20" s="827" t="s">
        <v>62</v>
      </c>
      <c r="L20" s="825" t="s">
        <v>7</v>
      </c>
      <c r="M20" s="826">
        <f>'Gap Calculator'!E42</f>
        <v>14041</v>
      </c>
      <c r="N20" s="803"/>
      <c r="O20" s="803"/>
      <c r="P20" s="816"/>
      <c r="Q20" s="803"/>
      <c r="R20" s="818"/>
      <c r="S20" s="827"/>
      <c r="T20" s="850" t="s">
        <v>174</v>
      </c>
      <c r="U20" s="831" t="s">
        <v>9</v>
      </c>
      <c r="V20" s="221">
        <v>0</v>
      </c>
      <c r="W20" s="286"/>
      <c r="X20" s="803"/>
      <c r="Y20" s="818"/>
      <c r="AA20" s="801" t="s">
        <v>202</v>
      </c>
      <c r="AB20" s="825"/>
      <c r="AC20" s="54"/>
      <c r="AD20" s="816"/>
      <c r="AE20" s="803"/>
      <c r="AF20" s="803"/>
      <c r="AG20" s="803"/>
    </row>
    <row r="21" spans="2:33" ht="18.75" customHeight="1" x14ac:dyDescent="0.3">
      <c r="B21" s="818"/>
      <c r="D21" s="847" t="s">
        <v>41</v>
      </c>
      <c r="E21" s="825" t="s">
        <v>9</v>
      </c>
      <c r="F21" s="56">
        <f>'Gap Calculator'!E35</f>
        <v>0.2</v>
      </c>
      <c r="G21" s="816"/>
      <c r="I21" s="818"/>
      <c r="J21" s="823" t="s">
        <v>64</v>
      </c>
      <c r="L21" s="825"/>
      <c r="N21" s="287"/>
      <c r="O21" s="287"/>
      <c r="P21" s="816"/>
      <c r="Q21" s="844"/>
      <c r="R21" s="818"/>
      <c r="S21" s="827"/>
      <c r="T21" s="830" t="s">
        <v>203</v>
      </c>
      <c r="U21" s="848" t="s">
        <v>7</v>
      </c>
      <c r="V21" s="220">
        <v>0</v>
      </c>
      <c r="W21" s="286"/>
      <c r="X21" s="844"/>
      <c r="Y21" s="818"/>
      <c r="AA21" s="837" t="s">
        <v>183</v>
      </c>
      <c r="AB21" s="825"/>
      <c r="AC21" s="843">
        <f>AC11*totalCapitalCost</f>
        <v>0</v>
      </c>
      <c r="AD21" s="816"/>
      <c r="AE21" s="844"/>
      <c r="AF21" s="844"/>
      <c r="AG21" s="844"/>
    </row>
    <row r="22" spans="2:33" ht="18.75" customHeight="1" x14ac:dyDescent="0.3">
      <c r="B22" s="818"/>
      <c r="D22" s="847" t="s">
        <v>42</v>
      </c>
      <c r="E22" s="825" t="s">
        <v>9</v>
      </c>
      <c r="F22" s="56">
        <f>'Gap Calculator'!E36</f>
        <v>1</v>
      </c>
      <c r="G22" s="816"/>
      <c r="I22" s="818"/>
      <c r="K22" s="847" t="s">
        <v>65</v>
      </c>
      <c r="L22" s="825" t="s">
        <v>9</v>
      </c>
      <c r="M22" s="57">
        <f>'Gap Calculator'!E44</f>
        <v>0</v>
      </c>
      <c r="N22" s="851"/>
      <c r="O22" s="851"/>
      <c r="P22" s="816"/>
      <c r="Q22" s="288"/>
      <c r="R22" s="818"/>
      <c r="S22" s="827"/>
      <c r="T22" s="850" t="s">
        <v>174</v>
      </c>
      <c r="U22" s="831" t="s">
        <v>9</v>
      </c>
      <c r="V22" s="221">
        <v>0</v>
      </c>
      <c r="W22" s="816"/>
      <c r="X22" s="288"/>
      <c r="Y22" s="818"/>
      <c r="AA22" s="837" t="s">
        <v>186</v>
      </c>
      <c r="AB22" s="825" t="s">
        <v>22</v>
      </c>
      <c r="AC22" s="51">
        <f>'Gap Calculator'!E61</f>
        <v>10</v>
      </c>
      <c r="AD22" s="816"/>
      <c r="AE22" s="288"/>
      <c r="AF22" s="288"/>
      <c r="AG22" s="288"/>
    </row>
    <row r="23" spans="2:33" ht="18.75" customHeight="1" x14ac:dyDescent="0.3">
      <c r="B23" s="818"/>
      <c r="D23" s="852" t="s">
        <v>204</v>
      </c>
      <c r="E23" s="853" t="s">
        <v>205</v>
      </c>
      <c r="F23" s="58"/>
      <c r="G23" s="816"/>
      <c r="I23" s="818"/>
      <c r="K23" s="827" t="s">
        <v>206</v>
      </c>
      <c r="L23" s="825" t="s">
        <v>7</v>
      </c>
      <c r="M23" s="826">
        <f>SUM(M12:M17)*M22</f>
        <v>0</v>
      </c>
      <c r="N23" s="803"/>
      <c r="O23" s="803"/>
      <c r="P23" s="816"/>
      <c r="Q23" s="288"/>
      <c r="R23" s="818"/>
      <c r="S23" s="827"/>
      <c r="T23" s="830" t="s">
        <v>207</v>
      </c>
      <c r="U23" s="848" t="s">
        <v>7</v>
      </c>
      <c r="V23" s="222">
        <v>0</v>
      </c>
      <c r="W23" s="816"/>
      <c r="X23" s="288"/>
      <c r="Y23" s="818"/>
      <c r="AA23" s="837" t="s">
        <v>86</v>
      </c>
      <c r="AB23" s="825" t="s">
        <v>9</v>
      </c>
      <c r="AC23" s="52">
        <f>'Gap Calculator'!E60</f>
        <v>7.0000000000000007E-2</v>
      </c>
      <c r="AD23" s="816"/>
      <c r="AE23" s="288"/>
      <c r="AF23" s="288"/>
      <c r="AG23" s="288"/>
    </row>
    <row r="24" spans="2:33" ht="18.75" customHeight="1" x14ac:dyDescent="0.3">
      <c r="B24" s="818"/>
      <c r="G24" s="816"/>
      <c r="I24" s="818"/>
      <c r="N24" s="803"/>
      <c r="O24" s="803"/>
      <c r="P24" s="816"/>
      <c r="Q24" s="288"/>
      <c r="R24" s="818"/>
      <c r="S24" s="827"/>
      <c r="T24" s="850" t="s">
        <v>174</v>
      </c>
      <c r="U24" s="831" t="s">
        <v>9</v>
      </c>
      <c r="V24" s="221">
        <v>0</v>
      </c>
      <c r="W24" s="816"/>
      <c r="X24" s="288"/>
      <c r="Y24" s="818"/>
      <c r="AA24" s="837" t="s">
        <v>208</v>
      </c>
      <c r="AB24" s="825" t="s">
        <v>85</v>
      </c>
      <c r="AC24" s="190">
        <v>2</v>
      </c>
      <c r="AD24" s="816"/>
      <c r="AE24" s="288"/>
      <c r="AF24" s="288"/>
      <c r="AG24" s="288"/>
    </row>
    <row r="25" spans="2:33" ht="18.75" customHeight="1" x14ac:dyDescent="0.3">
      <c r="B25" s="818"/>
      <c r="D25" s="847" t="s">
        <v>45</v>
      </c>
      <c r="E25" s="825" t="s">
        <v>22</v>
      </c>
      <c r="F25" s="59">
        <f>'Gap Calculator'!E38</f>
        <v>20</v>
      </c>
      <c r="G25" s="816"/>
      <c r="I25" s="818"/>
      <c r="J25" s="823" t="s">
        <v>209</v>
      </c>
      <c r="L25" s="825"/>
      <c r="N25" s="835"/>
      <c r="O25" s="835"/>
      <c r="P25" s="816"/>
      <c r="Q25" s="803"/>
      <c r="R25" s="818"/>
      <c r="S25" s="827"/>
      <c r="T25" s="833" t="s">
        <v>210</v>
      </c>
      <c r="U25" s="831" t="s">
        <v>9</v>
      </c>
      <c r="V25" s="221">
        <v>0</v>
      </c>
      <c r="W25" s="816"/>
      <c r="X25" s="803"/>
      <c r="Y25" s="818"/>
      <c r="AA25" s="837" t="s">
        <v>211</v>
      </c>
      <c r="AB25" s="825" t="s">
        <v>9</v>
      </c>
      <c r="AC25" s="52">
        <v>0</v>
      </c>
      <c r="AD25" s="816"/>
      <c r="AE25" s="803"/>
      <c r="AF25" s="803"/>
      <c r="AG25" s="803"/>
    </row>
    <row r="26" spans="2:33" ht="18.75" customHeight="1" x14ac:dyDescent="0.3">
      <c r="B26" s="818"/>
      <c r="G26" s="816"/>
      <c r="I26" s="818"/>
      <c r="K26" s="833" t="s">
        <v>212</v>
      </c>
      <c r="L26" s="831" t="s">
        <v>7</v>
      </c>
      <c r="M26" s="834">
        <v>0</v>
      </c>
      <c r="N26" s="835"/>
      <c r="O26" s="835"/>
      <c r="P26" s="816"/>
      <c r="Q26" s="803"/>
      <c r="R26" s="818"/>
      <c r="S26" s="827"/>
      <c r="T26" s="850" t="s">
        <v>213</v>
      </c>
      <c r="U26" s="848" t="s">
        <v>7</v>
      </c>
      <c r="V26" s="220">
        <v>0</v>
      </c>
      <c r="W26" s="816"/>
      <c r="X26" s="803"/>
      <c r="Y26" s="818"/>
      <c r="AA26" s="801" t="s">
        <v>79</v>
      </c>
      <c r="AB26" s="825"/>
      <c r="AC26" s="54"/>
      <c r="AD26" s="816"/>
      <c r="AE26" s="803"/>
      <c r="AF26" s="803"/>
      <c r="AG26" s="803"/>
    </row>
    <row r="27" spans="2:33" ht="18.75" customHeight="1" x14ac:dyDescent="0.3">
      <c r="B27" s="818"/>
      <c r="C27" s="823" t="s">
        <v>214</v>
      </c>
      <c r="G27" s="816"/>
      <c r="I27" s="818"/>
      <c r="K27" s="833" t="s">
        <v>215</v>
      </c>
      <c r="L27" s="831" t="s">
        <v>7</v>
      </c>
      <c r="M27" s="834">
        <v>0</v>
      </c>
      <c r="N27" s="835"/>
      <c r="O27" s="835"/>
      <c r="P27" s="816"/>
      <c r="Q27" s="803"/>
      <c r="R27" s="818"/>
      <c r="S27" s="827"/>
      <c r="T27" s="854" t="s">
        <v>174</v>
      </c>
      <c r="U27" s="831" t="s">
        <v>9</v>
      </c>
      <c r="V27" s="220">
        <v>0</v>
      </c>
      <c r="W27" s="816"/>
      <c r="X27" s="803"/>
      <c r="Y27" s="818"/>
      <c r="AA27" s="837" t="s">
        <v>216</v>
      </c>
      <c r="AB27" s="825" t="s">
        <v>7</v>
      </c>
      <c r="AC27" s="843">
        <f>totalCapitalCost*AC12</f>
        <v>14041</v>
      </c>
      <c r="AD27" s="816"/>
      <c r="AE27" s="803"/>
      <c r="AF27" s="803"/>
      <c r="AG27" s="803"/>
    </row>
    <row r="28" spans="2:33" ht="18.75" customHeight="1" x14ac:dyDescent="0.3">
      <c r="B28" s="818"/>
      <c r="D28" s="830" t="s">
        <v>24</v>
      </c>
      <c r="E28" s="831" t="s">
        <v>25</v>
      </c>
      <c r="F28" s="289">
        <v>0</v>
      </c>
      <c r="G28" s="816"/>
      <c r="I28" s="818"/>
      <c r="K28" s="833" t="s">
        <v>217</v>
      </c>
      <c r="L28" s="831" t="s">
        <v>7</v>
      </c>
      <c r="M28" s="834">
        <v>0</v>
      </c>
      <c r="N28" s="835"/>
      <c r="O28" s="835"/>
      <c r="P28" s="816"/>
      <c r="Q28" s="803"/>
      <c r="R28" s="818"/>
      <c r="S28" s="827"/>
      <c r="T28" s="830" t="s">
        <v>218</v>
      </c>
      <c r="U28" s="848" t="s">
        <v>7</v>
      </c>
      <c r="V28" s="220">
        <v>0</v>
      </c>
      <c r="W28" s="816"/>
      <c r="X28" s="803"/>
      <c r="Y28" s="818"/>
      <c r="Z28" s="847"/>
      <c r="AA28" s="837" t="s">
        <v>14</v>
      </c>
      <c r="AB28" s="825" t="s">
        <v>9</v>
      </c>
      <c r="AC28" s="52">
        <f>'Gap Calculator'!E62</f>
        <v>0.125</v>
      </c>
      <c r="AD28" s="816"/>
      <c r="AE28" s="803"/>
      <c r="AF28" s="803"/>
      <c r="AG28" s="803"/>
    </row>
    <row r="29" spans="2:33" ht="18.75" customHeight="1" x14ac:dyDescent="0.3">
      <c r="B29" s="818"/>
      <c r="D29" s="830" t="s">
        <v>219</v>
      </c>
      <c r="E29" s="831" t="s">
        <v>9</v>
      </c>
      <c r="F29" s="290">
        <v>1</v>
      </c>
      <c r="G29" s="816"/>
      <c r="I29" s="818"/>
      <c r="K29" s="833" t="s">
        <v>220</v>
      </c>
      <c r="L29" s="831" t="s">
        <v>7</v>
      </c>
      <c r="M29" s="834">
        <v>0</v>
      </c>
      <c r="N29" s="835"/>
      <c r="O29" s="835"/>
      <c r="P29" s="816"/>
      <c r="Q29" s="844"/>
      <c r="R29" s="818"/>
      <c r="T29" s="854" t="s">
        <v>174</v>
      </c>
      <c r="U29" s="831" t="s">
        <v>9</v>
      </c>
      <c r="V29" s="221">
        <v>0</v>
      </c>
      <c r="W29" s="816"/>
      <c r="X29" s="844"/>
      <c r="Y29" s="818"/>
      <c r="AA29" s="837" t="s">
        <v>221</v>
      </c>
      <c r="AB29" s="825" t="s">
        <v>9</v>
      </c>
      <c r="AC29" s="52">
        <v>0</v>
      </c>
      <c r="AD29" s="816"/>
      <c r="AE29" s="844"/>
      <c r="AF29" s="844"/>
      <c r="AG29" s="844"/>
    </row>
    <row r="30" spans="2:33" ht="18.75" customHeight="1" x14ac:dyDescent="0.3">
      <c r="B30" s="855"/>
      <c r="D30" s="830" t="s">
        <v>222</v>
      </c>
      <c r="E30" s="831"/>
      <c r="F30" s="856" t="s">
        <v>223</v>
      </c>
      <c r="G30" s="857"/>
      <c r="I30" s="818"/>
      <c r="J30" s="827"/>
      <c r="K30" s="833" t="s">
        <v>224</v>
      </c>
      <c r="L30" s="831" t="s">
        <v>7</v>
      </c>
      <c r="M30" s="834">
        <v>0</v>
      </c>
      <c r="N30" s="835"/>
      <c r="O30" s="835"/>
      <c r="P30" s="816"/>
      <c r="Q30" s="845"/>
      <c r="R30" s="818"/>
      <c r="W30" s="816"/>
      <c r="X30" s="845"/>
      <c r="Y30" s="818"/>
      <c r="AA30" s="837" t="s">
        <v>225</v>
      </c>
      <c r="AB30" s="825"/>
      <c r="AC30" s="54"/>
      <c r="AD30" s="816"/>
      <c r="AE30" s="845"/>
      <c r="AF30" s="845"/>
      <c r="AG30" s="845"/>
    </row>
    <row r="31" spans="2:33" ht="18.75" customHeight="1" x14ac:dyDescent="0.3">
      <c r="B31" s="855"/>
      <c r="D31" s="830" t="s">
        <v>226</v>
      </c>
      <c r="E31" s="831"/>
      <c r="F31" s="858">
        <v>1</v>
      </c>
      <c r="G31" s="857"/>
      <c r="I31" s="818"/>
      <c r="K31" s="859" t="s">
        <v>227</v>
      </c>
      <c r="L31" s="860" t="s">
        <v>7</v>
      </c>
      <c r="M31" s="861">
        <f>'Gap Calculator'!E43</f>
        <v>0</v>
      </c>
      <c r="N31" s="803"/>
      <c r="O31" s="803"/>
      <c r="P31" s="816"/>
      <c r="Q31" s="845"/>
      <c r="R31" s="818"/>
      <c r="S31" s="827" t="s">
        <v>228</v>
      </c>
      <c r="U31" s="828"/>
      <c r="V31" s="291"/>
      <c r="W31" s="816"/>
      <c r="X31" s="845"/>
      <c r="Y31" s="818"/>
      <c r="AA31" s="846" t="s">
        <v>229</v>
      </c>
      <c r="AB31" s="825" t="s">
        <v>230</v>
      </c>
      <c r="AC31" s="60">
        <v>0</v>
      </c>
      <c r="AD31" s="816"/>
      <c r="AE31" s="845"/>
      <c r="AF31" s="845"/>
      <c r="AG31" s="845"/>
    </row>
    <row r="32" spans="2:33" ht="18.75" customHeight="1" x14ac:dyDescent="0.3">
      <c r="B32" s="855"/>
      <c r="D32" s="830" t="s">
        <v>231</v>
      </c>
      <c r="E32" s="831"/>
      <c r="F32" s="858">
        <v>0</v>
      </c>
      <c r="G32" s="857"/>
      <c r="I32" s="818"/>
      <c r="N32" s="803"/>
      <c r="O32" s="803"/>
      <c r="P32" s="816"/>
      <c r="Q32" s="845"/>
      <c r="R32" s="818"/>
      <c r="S32" s="827"/>
      <c r="T32" s="862" t="s">
        <v>232</v>
      </c>
      <c r="U32" s="863"/>
      <c r="V32" s="864" t="s">
        <v>233</v>
      </c>
      <c r="W32" s="816"/>
      <c r="X32" s="845"/>
      <c r="Y32" s="818"/>
      <c r="AA32" s="846" t="s">
        <v>234</v>
      </c>
      <c r="AB32" s="825" t="s">
        <v>230</v>
      </c>
      <c r="AC32" s="60">
        <v>0</v>
      </c>
      <c r="AD32" s="816"/>
      <c r="AE32" s="845"/>
      <c r="AF32" s="845"/>
      <c r="AG32" s="845"/>
    </row>
    <row r="33" spans="2:33" ht="18.75" customHeight="1" x14ac:dyDescent="0.3">
      <c r="B33" s="855"/>
      <c r="D33" s="830" t="s">
        <v>235</v>
      </c>
      <c r="E33" s="865" t="s">
        <v>6</v>
      </c>
      <c r="F33" s="289">
        <v>0</v>
      </c>
      <c r="G33" s="857"/>
      <c r="I33" s="818"/>
      <c r="J33" s="823" t="s">
        <v>236</v>
      </c>
      <c r="L33" s="825" t="s">
        <v>7</v>
      </c>
      <c r="M33" s="866">
        <v>0</v>
      </c>
      <c r="N33" s="835"/>
      <c r="O33" s="835"/>
      <c r="P33" s="867"/>
      <c r="Q33" s="803"/>
      <c r="R33" s="818"/>
      <c r="W33" s="816"/>
      <c r="X33" s="803"/>
      <c r="Y33" s="818"/>
      <c r="AA33" s="846" t="s">
        <v>237</v>
      </c>
      <c r="AB33" s="825" t="s">
        <v>43</v>
      </c>
      <c r="AC33" s="292" t="str">
        <f>IF(AC32,1.15,"N/A")</f>
        <v>N/A</v>
      </c>
      <c r="AD33" s="816"/>
      <c r="AE33" s="803"/>
      <c r="AF33" s="803"/>
      <c r="AG33" s="803"/>
    </row>
    <row r="34" spans="2:33" ht="18.75" customHeight="1" x14ac:dyDescent="0.3">
      <c r="B34" s="855"/>
      <c r="G34" s="857"/>
      <c r="I34" s="818"/>
      <c r="J34" s="823" t="s">
        <v>238</v>
      </c>
      <c r="L34" s="825"/>
      <c r="M34" s="868"/>
      <c r="N34" s="845"/>
      <c r="O34" s="845"/>
      <c r="P34" s="816"/>
      <c r="R34" s="869"/>
      <c r="S34" s="870"/>
      <c r="T34" s="870"/>
      <c r="U34" s="870"/>
      <c r="V34" s="870"/>
      <c r="W34" s="871"/>
      <c r="Y34" s="818"/>
      <c r="AA34" s="847" t="s">
        <v>89</v>
      </c>
      <c r="AB34" s="825"/>
      <c r="AC34" s="200">
        <f>$AC$28*$AC$12+$AC$23*$AC$11*(1-$AC$41)</f>
        <v>0.125</v>
      </c>
      <c r="AD34" s="816"/>
    </row>
    <row r="35" spans="2:33" ht="18.75" customHeight="1" x14ac:dyDescent="0.3">
      <c r="B35" s="855"/>
      <c r="C35" s="872"/>
      <c r="D35" s="873"/>
      <c r="E35" s="860"/>
      <c r="F35" s="873"/>
      <c r="G35" s="857"/>
      <c r="I35" s="818"/>
      <c r="K35" s="827" t="s">
        <v>239</v>
      </c>
      <c r="L35" s="825" t="s">
        <v>7</v>
      </c>
      <c r="M35" s="866">
        <v>0</v>
      </c>
      <c r="N35" s="835"/>
      <c r="O35" s="835"/>
      <c r="P35" s="816"/>
      <c r="Y35" s="818"/>
      <c r="AA35" s="847"/>
      <c r="AB35" s="825"/>
      <c r="AC35" s="293"/>
      <c r="AD35" s="816"/>
    </row>
    <row r="36" spans="2:33" ht="18.75" customHeight="1" x14ac:dyDescent="0.3">
      <c r="B36" s="818"/>
      <c r="C36" s="873"/>
      <c r="D36" s="873"/>
      <c r="E36" s="860"/>
      <c r="F36" s="294"/>
      <c r="G36" s="816"/>
      <c r="I36" s="818"/>
      <c r="N36" s="803"/>
      <c r="O36" s="803"/>
      <c r="P36" s="816"/>
      <c r="V36" s="874"/>
      <c r="Y36" s="818"/>
      <c r="Z36" s="823" t="s">
        <v>240</v>
      </c>
      <c r="AB36" s="825"/>
      <c r="AC36" s="295"/>
      <c r="AD36" s="816"/>
    </row>
    <row r="37" spans="2:33" ht="18.75" customHeight="1" x14ac:dyDescent="0.3">
      <c r="B37" s="818"/>
      <c r="C37" s="873"/>
      <c r="D37" s="873"/>
      <c r="E37" s="860"/>
      <c r="F37" s="296"/>
      <c r="G37" s="816"/>
      <c r="I37" s="818"/>
      <c r="J37" s="823" t="s">
        <v>241</v>
      </c>
      <c r="L37" s="825" t="s">
        <v>7</v>
      </c>
      <c r="M37" s="866">
        <v>0</v>
      </c>
      <c r="N37" s="835"/>
      <c r="O37" s="835"/>
      <c r="P37" s="816"/>
      <c r="Y37" s="818"/>
      <c r="AA37" s="801" t="s">
        <v>93</v>
      </c>
      <c r="AB37" s="825"/>
      <c r="AC37" s="803"/>
      <c r="AD37" s="816"/>
    </row>
    <row r="38" spans="2:33" ht="18.75" customHeight="1" x14ac:dyDescent="0.3">
      <c r="B38" s="818"/>
      <c r="C38" s="873"/>
      <c r="D38" s="873"/>
      <c r="E38" s="860"/>
      <c r="F38" s="294"/>
      <c r="G38" s="816"/>
      <c r="I38" s="818"/>
      <c r="M38" s="868"/>
      <c r="P38" s="816"/>
      <c r="Y38" s="818"/>
      <c r="AA38" s="837" t="s">
        <v>242</v>
      </c>
      <c r="AB38" s="825" t="s">
        <v>243</v>
      </c>
      <c r="AC38" s="802">
        <v>30</v>
      </c>
      <c r="AD38" s="816"/>
    </row>
    <row r="39" spans="2:33" ht="18.75" customHeight="1" x14ac:dyDescent="0.3">
      <c r="B39" s="869"/>
      <c r="C39" s="870"/>
      <c r="D39" s="870"/>
      <c r="E39" s="875"/>
      <c r="F39" s="870"/>
      <c r="G39" s="871"/>
      <c r="I39" s="818"/>
      <c r="J39" s="823" t="s">
        <v>244</v>
      </c>
      <c r="M39" s="63" t="str">
        <f>IF(ABS(O45)&lt;1,"OK","Error")</f>
        <v>OK</v>
      </c>
      <c r="N39" s="50"/>
      <c r="O39" s="50"/>
      <c r="P39" s="816"/>
      <c r="Y39" s="818"/>
      <c r="AA39" s="837" t="s">
        <v>245</v>
      </c>
      <c r="AB39" s="825" t="s">
        <v>243</v>
      </c>
      <c r="AC39" s="802">
        <v>30</v>
      </c>
      <c r="AD39" s="816"/>
    </row>
    <row r="40" spans="2:33" ht="18.75" customHeight="1" x14ac:dyDescent="0.3">
      <c r="D40" s="802"/>
      <c r="E40" s="801"/>
      <c r="I40" s="818"/>
      <c r="K40" s="847" t="s">
        <v>246</v>
      </c>
      <c r="L40" s="825" t="s">
        <v>7</v>
      </c>
      <c r="M40" s="64">
        <v>0</v>
      </c>
      <c r="N40" s="65">
        <f>Draws!E42</f>
        <v>0</v>
      </c>
      <c r="O40" s="66">
        <f>M40-N40</f>
        <v>0</v>
      </c>
      <c r="P40" s="816"/>
      <c r="Y40" s="818"/>
      <c r="AA40" s="837" t="s">
        <v>247</v>
      </c>
      <c r="AB40" s="825" t="s">
        <v>243</v>
      </c>
      <c r="AC40" s="802">
        <v>15</v>
      </c>
      <c r="AD40" s="816"/>
    </row>
    <row r="41" spans="2:33" ht="18.75" customHeight="1" x14ac:dyDescent="0.3">
      <c r="D41" s="802"/>
      <c r="E41" s="801"/>
      <c r="I41" s="818"/>
      <c r="K41" s="847" t="s">
        <v>221</v>
      </c>
      <c r="L41" s="825" t="s">
        <v>7</v>
      </c>
      <c r="M41" s="64">
        <v>0</v>
      </c>
      <c r="N41" s="65">
        <f>$AC$27*$AC$29</f>
        <v>0</v>
      </c>
      <c r="O41" s="66">
        <f>M41-N41</f>
        <v>0</v>
      </c>
      <c r="P41" s="816"/>
      <c r="Y41" s="818"/>
      <c r="AA41" s="801" t="s">
        <v>88</v>
      </c>
      <c r="AB41" s="825"/>
      <c r="AC41" s="876">
        <f>'Gap Calculator'!E63</f>
        <v>0.29249999999999998</v>
      </c>
      <c r="AD41" s="816"/>
    </row>
    <row r="42" spans="2:33" ht="18.75" customHeight="1" x14ac:dyDescent="0.3">
      <c r="D42" s="802"/>
      <c r="E42" s="801"/>
      <c r="I42" s="818"/>
      <c r="K42" s="847" t="s">
        <v>248</v>
      </c>
      <c r="L42" s="825" t="s">
        <v>7</v>
      </c>
      <c r="M42" s="64">
        <v>0</v>
      </c>
      <c r="N42" s="65">
        <f>$AC$14*$AC$17</f>
        <v>0</v>
      </c>
      <c r="O42" s="66">
        <f>M42-N42</f>
        <v>0</v>
      </c>
      <c r="P42" s="816"/>
      <c r="Y42" s="818"/>
      <c r="AA42" s="847" t="s">
        <v>160</v>
      </c>
      <c r="AB42" s="825" t="s">
        <v>230</v>
      </c>
      <c r="AC42" s="877">
        <v>1</v>
      </c>
      <c r="AD42" s="816"/>
    </row>
    <row r="43" spans="2:33" ht="18.75" customHeight="1" x14ac:dyDescent="0.3">
      <c r="D43" s="802"/>
      <c r="E43" s="801"/>
      <c r="I43" s="818"/>
      <c r="K43" s="847" t="s">
        <v>249</v>
      </c>
      <c r="L43" s="825" t="s">
        <v>7</v>
      </c>
      <c r="M43" s="64">
        <v>0</v>
      </c>
      <c r="N43" s="65">
        <f>Draws!E45</f>
        <v>0</v>
      </c>
      <c r="O43" s="66">
        <f>M43-N43</f>
        <v>0</v>
      </c>
      <c r="P43" s="816"/>
      <c r="Y43" s="818"/>
      <c r="AA43" s="837" t="s">
        <v>250</v>
      </c>
      <c r="AB43" s="825" t="s">
        <v>9</v>
      </c>
      <c r="AC43" s="297">
        <f>ESSITC</f>
        <v>0.3</v>
      </c>
      <c r="AD43" s="816"/>
    </row>
    <row r="44" spans="2:33" ht="18.75" customHeight="1" x14ac:dyDescent="0.3">
      <c r="D44" s="802"/>
      <c r="E44" s="801"/>
      <c r="I44" s="818"/>
      <c r="K44" s="847" t="s">
        <v>251</v>
      </c>
      <c r="L44" s="825" t="s">
        <v>7</v>
      </c>
      <c r="M44" s="64">
        <v>0</v>
      </c>
      <c r="N44" s="65">
        <f>$AC$21*$AC$25</f>
        <v>0</v>
      </c>
      <c r="O44" s="66">
        <f>M44-N44</f>
        <v>0</v>
      </c>
      <c r="P44" s="816"/>
      <c r="V44" s="298"/>
      <c r="Y44" s="818"/>
      <c r="AA44" s="837" t="s">
        <v>252</v>
      </c>
      <c r="AB44" s="825" t="s">
        <v>7</v>
      </c>
      <c r="AC44" s="843">
        <f>totalCapitalCost*AC43/AC45</f>
        <v>4212.3</v>
      </c>
      <c r="AD44" s="867"/>
    </row>
    <row r="45" spans="2:33" ht="18.75" customHeight="1" x14ac:dyDescent="0.3">
      <c r="D45" s="802"/>
      <c r="E45" s="801"/>
      <c r="I45" s="818"/>
      <c r="K45" s="823" t="s">
        <v>244</v>
      </c>
      <c r="L45" s="825" t="s">
        <v>7</v>
      </c>
      <c r="M45" s="67">
        <f>SUM(M40:M44)</f>
        <v>0</v>
      </c>
      <c r="N45" s="68"/>
      <c r="O45" s="69">
        <f>SUM(O40:O44)</f>
        <v>0</v>
      </c>
      <c r="P45" s="816"/>
      <c r="Y45" s="818"/>
      <c r="AA45" s="837" t="s">
        <v>98</v>
      </c>
      <c r="AB45" s="825" t="s">
        <v>22</v>
      </c>
      <c r="AC45" s="209">
        <f>'Gap Calculator'!E72</f>
        <v>1</v>
      </c>
      <c r="AD45" s="867"/>
    </row>
    <row r="46" spans="2:33" ht="18.75" customHeight="1" x14ac:dyDescent="0.3">
      <c r="D46" s="802"/>
      <c r="E46" s="801"/>
      <c r="I46" s="818"/>
      <c r="M46" s="62"/>
      <c r="N46" s="50"/>
      <c r="O46" s="50"/>
      <c r="P46" s="816"/>
      <c r="Y46" s="818"/>
      <c r="AA46" s="837" t="s">
        <v>560</v>
      </c>
      <c r="AB46" s="825" t="s">
        <v>9</v>
      </c>
      <c r="AC46" s="297">
        <f>ITC_IntercxnThreshold</f>
        <v>0.5</v>
      </c>
      <c r="AD46" s="816"/>
    </row>
    <row r="47" spans="2:33" ht="18.75" customHeight="1" x14ac:dyDescent="0.3">
      <c r="I47" s="818"/>
      <c r="J47" s="823" t="s">
        <v>66</v>
      </c>
      <c r="L47" s="825" t="s">
        <v>7</v>
      </c>
      <c r="M47" s="61">
        <f>M20+M23+M31+M33+M35+M37+M45</f>
        <v>14041</v>
      </c>
      <c r="N47" s="50"/>
      <c r="O47" s="50"/>
      <c r="P47" s="816"/>
      <c r="Y47" s="818"/>
      <c r="AA47" s="801" t="s">
        <v>253</v>
      </c>
      <c r="AB47" s="825"/>
      <c r="AC47" s="802"/>
      <c r="AD47" s="867"/>
    </row>
    <row r="48" spans="2:33" ht="18.75" customHeight="1" x14ac:dyDescent="0.3">
      <c r="I48" s="818"/>
      <c r="M48" s="868"/>
      <c r="P48" s="816"/>
      <c r="Y48" s="818"/>
      <c r="AA48" s="878" t="s">
        <v>254</v>
      </c>
      <c r="AB48" s="879" t="s">
        <v>22</v>
      </c>
      <c r="AC48" s="880">
        <f>'Gap Calculator'!E66</f>
        <v>20</v>
      </c>
      <c r="AD48" s="816"/>
    </row>
    <row r="49" spans="2:33" ht="18.75" customHeight="1" x14ac:dyDescent="0.3">
      <c r="I49" s="818"/>
      <c r="J49" s="823" t="s">
        <v>256</v>
      </c>
      <c r="P49" s="816"/>
      <c r="Y49" s="818"/>
      <c r="AA49" s="878" t="s">
        <v>255</v>
      </c>
      <c r="AB49" s="879" t="s">
        <v>22</v>
      </c>
      <c r="AC49" s="880">
        <v>5</v>
      </c>
      <c r="AD49" s="816"/>
    </row>
    <row r="50" spans="2:33" ht="18.75" customHeight="1" x14ac:dyDescent="0.3">
      <c r="B50" s="881">
        <v>0</v>
      </c>
      <c r="I50" s="818"/>
      <c r="K50" s="801" t="s">
        <v>257</v>
      </c>
      <c r="L50" s="825" t="s">
        <v>52</v>
      </c>
      <c r="M50" s="882">
        <v>0</v>
      </c>
      <c r="N50" s="835"/>
      <c r="O50" s="835"/>
      <c r="P50" s="816"/>
      <c r="Y50" s="818"/>
      <c r="AA50" s="878" t="s">
        <v>244</v>
      </c>
      <c r="AB50" s="879" t="s">
        <v>22</v>
      </c>
      <c r="AC50" s="880">
        <v>5</v>
      </c>
      <c r="AD50" s="816"/>
    </row>
    <row r="51" spans="2:33" ht="18.75" customHeight="1" x14ac:dyDescent="0.3">
      <c r="B51" s="881">
        <v>1</v>
      </c>
      <c r="I51" s="818"/>
      <c r="K51" s="801" t="s">
        <v>259</v>
      </c>
      <c r="L51" s="825" t="s">
        <v>9</v>
      </c>
      <c r="M51" s="57">
        <v>0</v>
      </c>
      <c r="N51" s="299"/>
      <c r="O51" s="299"/>
      <c r="P51" s="883"/>
      <c r="Y51" s="818"/>
      <c r="AA51" s="801" t="s">
        <v>258</v>
      </c>
      <c r="AB51" s="825"/>
      <c r="AC51" s="802"/>
      <c r="AD51" s="884"/>
    </row>
    <row r="52" spans="2:33" ht="18.75" customHeight="1" x14ac:dyDescent="0.3">
      <c r="I52" s="869"/>
      <c r="J52" s="870"/>
      <c r="K52" s="870"/>
      <c r="L52" s="870"/>
      <c r="M52" s="870"/>
      <c r="N52" s="870"/>
      <c r="O52" s="870"/>
      <c r="P52" s="871"/>
      <c r="Y52" s="818"/>
      <c r="AA52" s="878" t="s">
        <v>254</v>
      </c>
      <c r="AB52" s="825" t="s">
        <v>22</v>
      </c>
      <c r="AC52" s="880">
        <f>'Gap Calculator'!E67</f>
        <v>7</v>
      </c>
      <c r="AD52" s="816"/>
    </row>
    <row r="53" spans="2:33" ht="18.75" customHeight="1" x14ac:dyDescent="0.3">
      <c r="Y53" s="818"/>
      <c r="AA53" s="878" t="s">
        <v>255</v>
      </c>
      <c r="AB53" s="825" t="s">
        <v>22</v>
      </c>
      <c r="AC53" s="880">
        <v>5</v>
      </c>
      <c r="AD53" s="816"/>
    </row>
    <row r="54" spans="2:33" ht="18.75" customHeight="1" x14ac:dyDescent="0.3">
      <c r="F54" s="885"/>
      <c r="Y54" s="818"/>
      <c r="AA54" s="878" t="s">
        <v>244</v>
      </c>
      <c r="AB54" s="825" t="s">
        <v>22</v>
      </c>
      <c r="AC54" s="880">
        <v>5</v>
      </c>
      <c r="AD54" s="816"/>
    </row>
    <row r="55" spans="2:33" ht="18.600000000000001" customHeight="1" x14ac:dyDescent="0.3">
      <c r="Q55" s="300"/>
      <c r="R55" s="300"/>
      <c r="S55" s="300"/>
      <c r="T55" s="300"/>
      <c r="U55" s="300"/>
      <c r="V55" s="300"/>
      <c r="W55" s="300"/>
      <c r="X55" s="300"/>
      <c r="Y55" s="869"/>
      <c r="Z55" s="870"/>
      <c r="AA55" s="870"/>
      <c r="AB55" s="875"/>
      <c r="AC55" s="870"/>
      <c r="AD55" s="886"/>
      <c r="AE55" s="300"/>
      <c r="AF55" s="300"/>
      <c r="AG55" s="300"/>
    </row>
    <row r="56" spans="2:33" ht="18.75" hidden="1" customHeight="1" x14ac:dyDescent="0.3">
      <c r="Q56" s="300"/>
      <c r="R56" s="300"/>
      <c r="S56" s="300"/>
      <c r="T56" s="300"/>
      <c r="U56" s="300"/>
      <c r="V56" s="300"/>
      <c r="W56" s="300"/>
      <c r="X56" s="300"/>
      <c r="Y56" s="300"/>
      <c r="Z56" s="300"/>
      <c r="AA56" s="300"/>
      <c r="AB56" s="300"/>
      <c r="AC56" s="300"/>
      <c r="AD56" s="300"/>
      <c r="AE56" s="300"/>
      <c r="AF56" s="300"/>
      <c r="AG56" s="300"/>
    </row>
  </sheetData>
  <sheetProtection algorithmName="SHA-512" hashValue="ErNdI0tLllt5kmbLytds9sa4dUtWi+KTX5INEbItVof3ZbzgJfLO6Tv9YmambcW55gplqWF4+uuXlFiucb+Omw==" saltValue="wZMJjnIdf/HDDE6XGFnSmg==" spinCount="100000" sheet="1" objects="1" scenarios="1" selectLockedCells="1"/>
  <dataValidations count="1">
    <dataValidation type="list" allowBlank="1" showInputMessage="1" showErrorMessage="1" sqref="F31:F32" xr:uid="{802C21F1-DB45-4AA2-8CAC-BFFEDAA8B152}">
      <formula1>$B$50:$B$51</formula1>
    </dataValidation>
  </dataValidations>
  <pageMargins left="0.7" right="0.7" top="0.75" bottom="0.75" header="0.3" footer="0.3"/>
  <pageSetup paperSize="9" scale="67" fitToWidth="0" orientation="portrait" horizontalDpi="300" verticalDpi="300" r:id="rId1"/>
  <rowBreaks count="1" manualBreakCount="1">
    <brk id="55" max="3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88BAA71-09EE-42EA-AE3E-6C143D3D9019}">
          <x14:formula1>
            <xm:f>'Dep-Tax-WC'!$H$85:$H$90</xm:f>
          </x14:formula1>
          <xm:sqref>AC52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86B8E-A98E-4D26-906C-B45A8D9F789F}">
  <sheetPr codeName="Sheet15">
    <tabColor theme="9" tint="0.59999389629810485"/>
    <pageSetUpPr fitToPage="1"/>
  </sheetPr>
  <dimension ref="A1:WWL52"/>
  <sheetViews>
    <sheetView defaultGridColor="0" colorId="22" zoomScale="80" zoomScaleNormal="80" zoomScaleSheetLayoutView="30" zoomScalePageLayoutView="150" workbookViewId="0">
      <selection activeCell="M40" sqref="M40:M44"/>
    </sheetView>
  </sheetViews>
  <sheetFormatPr defaultColWidth="0" defaultRowHeight="14.4" outlineLevelCol="1" x14ac:dyDescent="0.3"/>
  <cols>
    <col min="1" max="1" width="2.44140625" style="72" customWidth="1"/>
    <col min="2" max="2" width="5.109375" style="72" customWidth="1"/>
    <col min="3" max="3" width="2.5546875" style="72" customWidth="1"/>
    <col min="4" max="4" width="39.44140625" style="72" customWidth="1"/>
    <col min="5" max="5" width="15.5546875" style="72" customWidth="1"/>
    <col min="6" max="6" width="16.44140625" style="72" bestFit="1" customWidth="1"/>
    <col min="7" max="7" width="13.44140625" style="72" customWidth="1" outlineLevel="1"/>
    <col min="8" max="8" width="14.44140625" style="72" bestFit="1" customWidth="1"/>
    <col min="9" max="9" width="13.44140625" style="72" bestFit="1" customWidth="1"/>
    <col min="10" max="10" width="12.44140625" style="72" bestFit="1" customWidth="1"/>
    <col min="11" max="11" width="13.44140625" style="72" bestFit="1" customWidth="1"/>
    <col min="12" max="12" width="12.44140625" style="72" bestFit="1" customWidth="1"/>
    <col min="13" max="13" width="13.44140625" style="72" bestFit="1" customWidth="1"/>
    <col min="14" max="14" width="12.44140625" style="72" bestFit="1" customWidth="1"/>
    <col min="15" max="15" width="13.44140625" style="72" bestFit="1" customWidth="1"/>
    <col min="16" max="16" width="12.44140625" style="72" bestFit="1" customWidth="1"/>
    <col min="17" max="17" width="13.44140625" style="72" bestFit="1" customWidth="1"/>
    <col min="18" max="18" width="12.44140625" style="72" bestFit="1" customWidth="1"/>
    <col min="19" max="23" width="12" style="72" bestFit="1" customWidth="1"/>
    <col min="24" max="24" width="11.5546875" style="72" bestFit="1" customWidth="1"/>
    <col min="25" max="26" width="12" style="72" bestFit="1" customWidth="1"/>
    <col min="27" max="32" width="12.44140625" style="72" bestFit="1" customWidth="1"/>
    <col min="33" max="42" width="13.44140625" style="72" customWidth="1"/>
    <col min="43" max="247" width="9.44140625" style="72" hidden="1"/>
    <col min="248" max="248" width="2.44140625" style="72" hidden="1"/>
    <col min="249" max="249" width="3.5546875" style="72" hidden="1"/>
    <col min="250" max="250" width="2.5546875" style="72" hidden="1"/>
    <col min="251" max="251" width="39.44140625" style="72" hidden="1"/>
    <col min="252" max="252" width="11.44140625" style="72" hidden="1"/>
    <col min="253" max="253" width="14.44140625" style="72" hidden="1"/>
    <col min="254" max="254" width="11.44140625" style="72" hidden="1"/>
    <col min="255" max="255" width="11.5546875" style="72" hidden="1"/>
    <col min="256" max="258" width="12.44140625" style="72" hidden="1"/>
    <col min="259" max="259" width="12" style="72" hidden="1"/>
    <col min="260" max="264" width="12.44140625" style="72" hidden="1"/>
    <col min="265" max="269" width="12" style="72" hidden="1"/>
    <col min="270" max="270" width="11.5546875" style="72" hidden="1"/>
    <col min="271" max="274" width="12" style="72" hidden="1"/>
    <col min="275" max="283" width="11.5546875" style="72" hidden="1"/>
    <col min="284" max="503" width="9.44140625" style="72" hidden="1"/>
    <col min="504" max="504" width="2.44140625" style="72" hidden="1"/>
    <col min="505" max="505" width="3.5546875" style="72" hidden="1"/>
    <col min="506" max="506" width="2.5546875" style="72" hidden="1"/>
    <col min="507" max="507" width="39.44140625" style="72" hidden="1"/>
    <col min="508" max="508" width="11.44140625" style="72" hidden="1"/>
    <col min="509" max="509" width="14.44140625" style="72" hidden="1"/>
    <col min="510" max="510" width="11.44140625" style="72" hidden="1"/>
    <col min="511" max="511" width="11.5546875" style="72" hidden="1"/>
    <col min="512" max="514" width="12.44140625" style="72" hidden="1"/>
    <col min="515" max="515" width="12" style="72" hidden="1"/>
    <col min="516" max="520" width="12.44140625" style="72" hidden="1"/>
    <col min="521" max="525" width="12" style="72" hidden="1"/>
    <col min="526" max="526" width="11.5546875" style="72" hidden="1"/>
    <col min="527" max="530" width="12" style="72" hidden="1"/>
    <col min="531" max="539" width="11.5546875" style="72" hidden="1"/>
    <col min="540" max="759" width="9.44140625" style="72" hidden="1"/>
    <col min="760" max="760" width="2.44140625" style="72" hidden="1"/>
    <col min="761" max="761" width="3.5546875" style="72" hidden="1"/>
    <col min="762" max="762" width="2.5546875" style="72" hidden="1"/>
    <col min="763" max="763" width="39.44140625" style="72" hidden="1"/>
    <col min="764" max="764" width="11.44140625" style="72" hidden="1"/>
    <col min="765" max="765" width="14.44140625" style="72" hidden="1"/>
    <col min="766" max="766" width="11.44140625" style="72" hidden="1"/>
    <col min="767" max="767" width="11.5546875" style="72" hidden="1"/>
    <col min="768" max="770" width="12.44140625" style="72" hidden="1"/>
    <col min="771" max="771" width="12" style="72" hidden="1"/>
    <col min="772" max="776" width="12.44140625" style="72" hidden="1"/>
    <col min="777" max="781" width="12" style="72" hidden="1"/>
    <col min="782" max="782" width="11.5546875" style="72" hidden="1"/>
    <col min="783" max="786" width="12" style="72" hidden="1"/>
    <col min="787" max="795" width="11.5546875" style="72" hidden="1"/>
    <col min="796" max="1015" width="9.44140625" style="72" hidden="1"/>
    <col min="1016" max="1016" width="2.44140625" style="72" hidden="1"/>
    <col min="1017" max="1017" width="3.5546875" style="72" hidden="1"/>
    <col min="1018" max="1018" width="2.5546875" style="72" hidden="1"/>
    <col min="1019" max="1019" width="39.44140625" style="72" hidden="1"/>
    <col min="1020" max="1020" width="11.44140625" style="72" hidden="1"/>
    <col min="1021" max="1021" width="14.44140625" style="72" hidden="1"/>
    <col min="1022" max="1022" width="11.44140625" style="72" hidden="1"/>
    <col min="1023" max="1023" width="11.5546875" style="72" hidden="1"/>
    <col min="1024" max="1026" width="12.44140625" style="72" hidden="1"/>
    <col min="1027" max="1027" width="12" style="72" hidden="1"/>
    <col min="1028" max="1032" width="12.44140625" style="72" hidden="1"/>
    <col min="1033" max="1037" width="12" style="72" hidden="1"/>
    <col min="1038" max="1038" width="11.5546875" style="72" hidden="1"/>
    <col min="1039" max="1042" width="12" style="72" hidden="1"/>
    <col min="1043" max="1051" width="11.5546875" style="72" hidden="1"/>
    <col min="1052" max="1271" width="9.44140625" style="72" hidden="1"/>
    <col min="1272" max="1272" width="2.44140625" style="72" hidden="1"/>
    <col min="1273" max="1273" width="3.5546875" style="72" hidden="1"/>
    <col min="1274" max="1274" width="2.5546875" style="72" hidden="1"/>
    <col min="1275" max="1275" width="39.44140625" style="72" hidden="1"/>
    <col min="1276" max="1276" width="11.44140625" style="72" hidden="1"/>
    <col min="1277" max="1277" width="14.44140625" style="72" hidden="1"/>
    <col min="1278" max="1278" width="11.44140625" style="72" hidden="1"/>
    <col min="1279" max="1279" width="11.5546875" style="72" hidden="1"/>
    <col min="1280" max="1282" width="12.44140625" style="72" hidden="1"/>
    <col min="1283" max="1283" width="12" style="72" hidden="1"/>
    <col min="1284" max="1288" width="12.44140625" style="72" hidden="1"/>
    <col min="1289" max="1293" width="12" style="72" hidden="1"/>
    <col min="1294" max="1294" width="11.5546875" style="72" hidden="1"/>
    <col min="1295" max="1298" width="12" style="72" hidden="1"/>
    <col min="1299" max="1307" width="11.5546875" style="72" hidden="1"/>
    <col min="1308" max="1527" width="9.44140625" style="72" hidden="1"/>
    <col min="1528" max="1528" width="2.44140625" style="72" hidden="1"/>
    <col min="1529" max="1529" width="3.5546875" style="72" hidden="1"/>
    <col min="1530" max="1530" width="2.5546875" style="72" hidden="1"/>
    <col min="1531" max="1531" width="39.44140625" style="72" hidden="1"/>
    <col min="1532" max="1532" width="11.44140625" style="72" hidden="1"/>
    <col min="1533" max="1533" width="14.44140625" style="72" hidden="1"/>
    <col min="1534" max="1534" width="11.44140625" style="72" hidden="1"/>
    <col min="1535" max="1535" width="11.5546875" style="72" hidden="1"/>
    <col min="1536" max="1538" width="12.44140625" style="72" hidden="1"/>
    <col min="1539" max="1539" width="12" style="72" hidden="1"/>
    <col min="1540" max="1544" width="12.44140625" style="72" hidden="1"/>
    <col min="1545" max="1549" width="12" style="72" hidden="1"/>
    <col min="1550" max="1550" width="11.5546875" style="72" hidden="1"/>
    <col min="1551" max="1554" width="12" style="72" hidden="1"/>
    <col min="1555" max="1563" width="11.5546875" style="72" hidden="1"/>
    <col min="1564" max="1783" width="9.44140625" style="72" hidden="1"/>
    <col min="1784" max="1784" width="2.44140625" style="72" hidden="1"/>
    <col min="1785" max="1785" width="3.5546875" style="72" hidden="1"/>
    <col min="1786" max="1786" width="2.5546875" style="72" hidden="1"/>
    <col min="1787" max="1787" width="39.44140625" style="72" hidden="1"/>
    <col min="1788" max="1788" width="11.44140625" style="72" hidden="1"/>
    <col min="1789" max="1789" width="14.44140625" style="72" hidden="1"/>
    <col min="1790" max="1790" width="11.44140625" style="72" hidden="1"/>
    <col min="1791" max="1791" width="11.5546875" style="72" hidden="1"/>
    <col min="1792" max="1794" width="12.44140625" style="72" hidden="1"/>
    <col min="1795" max="1795" width="12" style="72" hidden="1"/>
    <col min="1796" max="1800" width="12.44140625" style="72" hidden="1"/>
    <col min="1801" max="1805" width="12" style="72" hidden="1"/>
    <col min="1806" max="1806" width="11.5546875" style="72" hidden="1"/>
    <col min="1807" max="1810" width="12" style="72" hidden="1"/>
    <col min="1811" max="1819" width="11.5546875" style="72" hidden="1"/>
    <col min="1820" max="2039" width="9.44140625" style="72" hidden="1"/>
    <col min="2040" max="2040" width="2.44140625" style="72" hidden="1"/>
    <col min="2041" max="2041" width="3.5546875" style="72" hidden="1"/>
    <col min="2042" max="2042" width="2.5546875" style="72" hidden="1"/>
    <col min="2043" max="2043" width="39.44140625" style="72" hidden="1"/>
    <col min="2044" max="2044" width="11.44140625" style="72" hidden="1"/>
    <col min="2045" max="2045" width="14.44140625" style="72" hidden="1"/>
    <col min="2046" max="2046" width="11.44140625" style="72" hidden="1"/>
    <col min="2047" max="2047" width="11.5546875" style="72" hidden="1"/>
    <col min="2048" max="2050" width="12.44140625" style="72" hidden="1"/>
    <col min="2051" max="2051" width="12" style="72" hidden="1"/>
    <col min="2052" max="2056" width="12.44140625" style="72" hidden="1"/>
    <col min="2057" max="2061" width="12" style="72" hidden="1"/>
    <col min="2062" max="2062" width="11.5546875" style="72" hidden="1"/>
    <col min="2063" max="2066" width="12" style="72" hidden="1"/>
    <col min="2067" max="2075" width="11.5546875" style="72" hidden="1"/>
    <col min="2076" max="2295" width="9.44140625" style="72" hidden="1"/>
    <col min="2296" max="2296" width="2.44140625" style="72" hidden="1"/>
    <col min="2297" max="2297" width="3.5546875" style="72" hidden="1"/>
    <col min="2298" max="2298" width="2.5546875" style="72" hidden="1"/>
    <col min="2299" max="2299" width="39.44140625" style="72" hidden="1"/>
    <col min="2300" max="2300" width="11.44140625" style="72" hidden="1"/>
    <col min="2301" max="2301" width="14.44140625" style="72" hidden="1"/>
    <col min="2302" max="2302" width="11.44140625" style="72" hidden="1"/>
    <col min="2303" max="2303" width="11.5546875" style="72" hidden="1"/>
    <col min="2304" max="2306" width="12.44140625" style="72" hidden="1"/>
    <col min="2307" max="2307" width="12" style="72" hidden="1"/>
    <col min="2308" max="2312" width="12.44140625" style="72" hidden="1"/>
    <col min="2313" max="2317" width="12" style="72" hidden="1"/>
    <col min="2318" max="2318" width="11.5546875" style="72" hidden="1"/>
    <col min="2319" max="2322" width="12" style="72" hidden="1"/>
    <col min="2323" max="2331" width="11.5546875" style="72" hidden="1"/>
    <col min="2332" max="2551" width="9.44140625" style="72" hidden="1"/>
    <col min="2552" max="2552" width="2.44140625" style="72" hidden="1"/>
    <col min="2553" max="2553" width="3.5546875" style="72" hidden="1"/>
    <col min="2554" max="2554" width="2.5546875" style="72" hidden="1"/>
    <col min="2555" max="2555" width="39.44140625" style="72" hidden="1"/>
    <col min="2556" max="2556" width="11.44140625" style="72" hidden="1"/>
    <col min="2557" max="2557" width="14.44140625" style="72" hidden="1"/>
    <col min="2558" max="2558" width="11.44140625" style="72" hidden="1"/>
    <col min="2559" max="2559" width="11.5546875" style="72" hidden="1"/>
    <col min="2560" max="2562" width="12.44140625" style="72" hidden="1"/>
    <col min="2563" max="2563" width="12" style="72" hidden="1"/>
    <col min="2564" max="2568" width="12.44140625" style="72" hidden="1"/>
    <col min="2569" max="2573" width="12" style="72" hidden="1"/>
    <col min="2574" max="2574" width="11.5546875" style="72" hidden="1"/>
    <col min="2575" max="2578" width="12" style="72" hidden="1"/>
    <col min="2579" max="2587" width="11.5546875" style="72" hidden="1"/>
    <col min="2588" max="2807" width="9.44140625" style="72" hidden="1"/>
    <col min="2808" max="2808" width="2.44140625" style="72" hidden="1"/>
    <col min="2809" max="2809" width="3.5546875" style="72" hidden="1"/>
    <col min="2810" max="2810" width="2.5546875" style="72" hidden="1"/>
    <col min="2811" max="2811" width="39.44140625" style="72" hidden="1"/>
    <col min="2812" max="2812" width="11.44140625" style="72" hidden="1"/>
    <col min="2813" max="2813" width="14.44140625" style="72" hidden="1"/>
    <col min="2814" max="2814" width="11.44140625" style="72" hidden="1"/>
    <col min="2815" max="2815" width="11.5546875" style="72" hidden="1"/>
    <col min="2816" max="2818" width="12.44140625" style="72" hidden="1"/>
    <col min="2819" max="2819" width="12" style="72" hidden="1"/>
    <col min="2820" max="2824" width="12.44140625" style="72" hidden="1"/>
    <col min="2825" max="2829" width="12" style="72" hidden="1"/>
    <col min="2830" max="2830" width="11.5546875" style="72" hidden="1"/>
    <col min="2831" max="2834" width="12" style="72" hidden="1"/>
    <col min="2835" max="2843" width="11.5546875" style="72" hidden="1"/>
    <col min="2844" max="3063" width="9.44140625" style="72" hidden="1"/>
    <col min="3064" max="3064" width="2.44140625" style="72" hidden="1"/>
    <col min="3065" max="3065" width="3.5546875" style="72" hidden="1"/>
    <col min="3066" max="3066" width="2.5546875" style="72" hidden="1"/>
    <col min="3067" max="3067" width="39.44140625" style="72" hidden="1"/>
    <col min="3068" max="3068" width="11.44140625" style="72" hidden="1"/>
    <col min="3069" max="3069" width="14.44140625" style="72" hidden="1"/>
    <col min="3070" max="3070" width="11.44140625" style="72" hidden="1"/>
    <col min="3071" max="3071" width="11.5546875" style="72" hidden="1"/>
    <col min="3072" max="3074" width="12.44140625" style="72" hidden="1"/>
    <col min="3075" max="3075" width="12" style="72" hidden="1"/>
    <col min="3076" max="3080" width="12.44140625" style="72" hidden="1"/>
    <col min="3081" max="3085" width="12" style="72" hidden="1"/>
    <col min="3086" max="3086" width="11.5546875" style="72" hidden="1"/>
    <col min="3087" max="3090" width="12" style="72" hidden="1"/>
    <col min="3091" max="3099" width="11.5546875" style="72" hidden="1"/>
    <col min="3100" max="3319" width="9.44140625" style="72" hidden="1"/>
    <col min="3320" max="3320" width="2.44140625" style="72" hidden="1"/>
    <col min="3321" max="3321" width="3.5546875" style="72" hidden="1"/>
    <col min="3322" max="3322" width="2.5546875" style="72" hidden="1"/>
    <col min="3323" max="3323" width="39.44140625" style="72" hidden="1"/>
    <col min="3324" max="3324" width="11.44140625" style="72" hidden="1"/>
    <col min="3325" max="3325" width="14.44140625" style="72" hidden="1"/>
    <col min="3326" max="3326" width="11.44140625" style="72" hidden="1"/>
    <col min="3327" max="3327" width="11.5546875" style="72" hidden="1"/>
    <col min="3328" max="3330" width="12.44140625" style="72" hidden="1"/>
    <col min="3331" max="3331" width="12" style="72" hidden="1"/>
    <col min="3332" max="3336" width="12.44140625" style="72" hidden="1"/>
    <col min="3337" max="3341" width="12" style="72" hidden="1"/>
    <col min="3342" max="3342" width="11.5546875" style="72" hidden="1"/>
    <col min="3343" max="3346" width="12" style="72" hidden="1"/>
    <col min="3347" max="3355" width="11.5546875" style="72" hidden="1"/>
    <col min="3356" max="3575" width="9.44140625" style="72" hidden="1"/>
    <col min="3576" max="3576" width="2.44140625" style="72" hidden="1"/>
    <col min="3577" max="3577" width="3.5546875" style="72" hidden="1"/>
    <col min="3578" max="3578" width="2.5546875" style="72" hidden="1"/>
    <col min="3579" max="3579" width="39.44140625" style="72" hidden="1"/>
    <col min="3580" max="3580" width="11.44140625" style="72" hidden="1"/>
    <col min="3581" max="3581" width="14.44140625" style="72" hidden="1"/>
    <col min="3582" max="3582" width="11.44140625" style="72" hidden="1"/>
    <col min="3583" max="3583" width="11.5546875" style="72" hidden="1"/>
    <col min="3584" max="3586" width="12.44140625" style="72" hidden="1"/>
    <col min="3587" max="3587" width="12" style="72" hidden="1"/>
    <col min="3588" max="3592" width="12.44140625" style="72" hidden="1"/>
    <col min="3593" max="3597" width="12" style="72" hidden="1"/>
    <col min="3598" max="3598" width="11.5546875" style="72" hidden="1"/>
    <col min="3599" max="3602" width="12" style="72" hidden="1"/>
    <col min="3603" max="3611" width="11.5546875" style="72" hidden="1"/>
    <col min="3612" max="3831" width="9.44140625" style="72" hidden="1"/>
    <col min="3832" max="3832" width="2.44140625" style="72" hidden="1"/>
    <col min="3833" max="3833" width="3.5546875" style="72" hidden="1"/>
    <col min="3834" max="3834" width="2.5546875" style="72" hidden="1"/>
    <col min="3835" max="3835" width="39.44140625" style="72" hidden="1"/>
    <col min="3836" max="3836" width="11.44140625" style="72" hidden="1"/>
    <col min="3837" max="3837" width="14.44140625" style="72" hidden="1"/>
    <col min="3838" max="3838" width="11.44140625" style="72" hidden="1"/>
    <col min="3839" max="3839" width="11.5546875" style="72" hidden="1"/>
    <col min="3840" max="3842" width="12.44140625" style="72" hidden="1"/>
    <col min="3843" max="3843" width="12" style="72" hidden="1"/>
    <col min="3844" max="3848" width="12.44140625" style="72" hidden="1"/>
    <col min="3849" max="3853" width="12" style="72" hidden="1"/>
    <col min="3854" max="3854" width="11.5546875" style="72" hidden="1"/>
    <col min="3855" max="3858" width="12" style="72" hidden="1"/>
    <col min="3859" max="3867" width="11.5546875" style="72" hidden="1"/>
    <col min="3868" max="4087" width="9.44140625" style="72" hidden="1"/>
    <col min="4088" max="4088" width="2.44140625" style="72" hidden="1"/>
    <col min="4089" max="4089" width="3.5546875" style="72" hidden="1"/>
    <col min="4090" max="4090" width="2.5546875" style="72" hidden="1"/>
    <col min="4091" max="4091" width="39.44140625" style="72" hidden="1"/>
    <col min="4092" max="4092" width="11.44140625" style="72" hidden="1"/>
    <col min="4093" max="4093" width="14.44140625" style="72" hidden="1"/>
    <col min="4094" max="4094" width="11.44140625" style="72" hidden="1"/>
    <col min="4095" max="4095" width="11.5546875" style="72" hidden="1"/>
    <col min="4096" max="4098" width="12.44140625" style="72" hidden="1"/>
    <col min="4099" max="4099" width="12" style="72" hidden="1"/>
    <col min="4100" max="4104" width="12.44140625" style="72" hidden="1"/>
    <col min="4105" max="4109" width="12" style="72" hidden="1"/>
    <col min="4110" max="4110" width="11.5546875" style="72" hidden="1"/>
    <col min="4111" max="4114" width="12" style="72" hidden="1"/>
    <col min="4115" max="4123" width="11.5546875" style="72" hidden="1"/>
    <col min="4124" max="4343" width="9.44140625" style="72" hidden="1"/>
    <col min="4344" max="4344" width="2.44140625" style="72" hidden="1"/>
    <col min="4345" max="4345" width="3.5546875" style="72" hidden="1"/>
    <col min="4346" max="4346" width="2.5546875" style="72" hidden="1"/>
    <col min="4347" max="4347" width="39.44140625" style="72" hidden="1"/>
    <col min="4348" max="4348" width="11.44140625" style="72" hidden="1"/>
    <col min="4349" max="4349" width="14.44140625" style="72" hidden="1"/>
    <col min="4350" max="4350" width="11.44140625" style="72" hidden="1"/>
    <col min="4351" max="4351" width="11.5546875" style="72" hidden="1"/>
    <col min="4352" max="4354" width="12.44140625" style="72" hidden="1"/>
    <col min="4355" max="4355" width="12" style="72" hidden="1"/>
    <col min="4356" max="4360" width="12.44140625" style="72" hidden="1"/>
    <col min="4361" max="4365" width="12" style="72" hidden="1"/>
    <col min="4366" max="4366" width="11.5546875" style="72" hidden="1"/>
    <col min="4367" max="4370" width="12" style="72" hidden="1"/>
    <col min="4371" max="4379" width="11.5546875" style="72" hidden="1"/>
    <col min="4380" max="4599" width="9.44140625" style="72" hidden="1"/>
    <col min="4600" max="4600" width="2.44140625" style="72" hidden="1"/>
    <col min="4601" max="4601" width="3.5546875" style="72" hidden="1"/>
    <col min="4602" max="4602" width="2.5546875" style="72" hidden="1"/>
    <col min="4603" max="4603" width="39.44140625" style="72" hidden="1"/>
    <col min="4604" max="4604" width="11.44140625" style="72" hidden="1"/>
    <col min="4605" max="4605" width="14.44140625" style="72" hidden="1"/>
    <col min="4606" max="4606" width="11.44140625" style="72" hidden="1"/>
    <col min="4607" max="4607" width="11.5546875" style="72" hidden="1"/>
    <col min="4608" max="4610" width="12.44140625" style="72" hidden="1"/>
    <col min="4611" max="4611" width="12" style="72" hidden="1"/>
    <col min="4612" max="4616" width="12.44140625" style="72" hidden="1"/>
    <col min="4617" max="4621" width="12" style="72" hidden="1"/>
    <col min="4622" max="4622" width="11.5546875" style="72" hidden="1"/>
    <col min="4623" max="4626" width="12" style="72" hidden="1"/>
    <col min="4627" max="4635" width="11.5546875" style="72" hidden="1"/>
    <col min="4636" max="4855" width="9.44140625" style="72" hidden="1"/>
    <col min="4856" max="4856" width="2.44140625" style="72" hidden="1"/>
    <col min="4857" max="4857" width="3.5546875" style="72" hidden="1"/>
    <col min="4858" max="4858" width="2.5546875" style="72" hidden="1"/>
    <col min="4859" max="4859" width="39.44140625" style="72" hidden="1"/>
    <col min="4860" max="4860" width="11.44140625" style="72" hidden="1"/>
    <col min="4861" max="4861" width="14.44140625" style="72" hidden="1"/>
    <col min="4862" max="4862" width="11.44140625" style="72" hidden="1"/>
    <col min="4863" max="4863" width="11.5546875" style="72" hidden="1"/>
    <col min="4864" max="4866" width="12.44140625" style="72" hidden="1"/>
    <col min="4867" max="4867" width="12" style="72" hidden="1"/>
    <col min="4868" max="4872" width="12.44140625" style="72" hidden="1"/>
    <col min="4873" max="4877" width="12" style="72" hidden="1"/>
    <col min="4878" max="4878" width="11.5546875" style="72" hidden="1"/>
    <col min="4879" max="4882" width="12" style="72" hidden="1"/>
    <col min="4883" max="4891" width="11.5546875" style="72" hidden="1"/>
    <col min="4892" max="5111" width="9.44140625" style="72" hidden="1"/>
    <col min="5112" max="5112" width="2.44140625" style="72" hidden="1"/>
    <col min="5113" max="5113" width="3.5546875" style="72" hidden="1"/>
    <col min="5114" max="5114" width="2.5546875" style="72" hidden="1"/>
    <col min="5115" max="5115" width="39.44140625" style="72" hidden="1"/>
    <col min="5116" max="5116" width="11.44140625" style="72" hidden="1"/>
    <col min="5117" max="5117" width="14.44140625" style="72" hidden="1"/>
    <col min="5118" max="5118" width="11.44140625" style="72" hidden="1"/>
    <col min="5119" max="5119" width="11.5546875" style="72" hidden="1"/>
    <col min="5120" max="5122" width="12.44140625" style="72" hidden="1"/>
    <col min="5123" max="5123" width="12" style="72" hidden="1"/>
    <col min="5124" max="5128" width="12.44140625" style="72" hidden="1"/>
    <col min="5129" max="5133" width="12" style="72" hidden="1"/>
    <col min="5134" max="5134" width="11.5546875" style="72" hidden="1"/>
    <col min="5135" max="5138" width="12" style="72" hidden="1"/>
    <col min="5139" max="5147" width="11.5546875" style="72" hidden="1"/>
    <col min="5148" max="5367" width="9.44140625" style="72" hidden="1"/>
    <col min="5368" max="5368" width="2.44140625" style="72" hidden="1"/>
    <col min="5369" max="5369" width="3.5546875" style="72" hidden="1"/>
    <col min="5370" max="5370" width="2.5546875" style="72" hidden="1"/>
    <col min="5371" max="5371" width="39.44140625" style="72" hidden="1"/>
    <col min="5372" max="5372" width="11.44140625" style="72" hidden="1"/>
    <col min="5373" max="5373" width="14.44140625" style="72" hidden="1"/>
    <col min="5374" max="5374" width="11.44140625" style="72" hidden="1"/>
    <col min="5375" max="5375" width="11.5546875" style="72" hidden="1"/>
    <col min="5376" max="5378" width="12.44140625" style="72" hidden="1"/>
    <col min="5379" max="5379" width="12" style="72" hidden="1"/>
    <col min="5380" max="5384" width="12.44140625" style="72" hidden="1"/>
    <col min="5385" max="5389" width="12" style="72" hidden="1"/>
    <col min="5390" max="5390" width="11.5546875" style="72" hidden="1"/>
    <col min="5391" max="5394" width="12" style="72" hidden="1"/>
    <col min="5395" max="5403" width="11.5546875" style="72" hidden="1"/>
    <col min="5404" max="5623" width="9.44140625" style="72" hidden="1"/>
    <col min="5624" max="5624" width="2.44140625" style="72" hidden="1"/>
    <col min="5625" max="5625" width="3.5546875" style="72" hidden="1"/>
    <col min="5626" max="5626" width="2.5546875" style="72" hidden="1"/>
    <col min="5627" max="5627" width="39.44140625" style="72" hidden="1"/>
    <col min="5628" max="5628" width="11.44140625" style="72" hidden="1"/>
    <col min="5629" max="5629" width="14.44140625" style="72" hidden="1"/>
    <col min="5630" max="5630" width="11.44140625" style="72" hidden="1"/>
    <col min="5631" max="5631" width="11.5546875" style="72" hidden="1"/>
    <col min="5632" max="5634" width="12.44140625" style="72" hidden="1"/>
    <col min="5635" max="5635" width="12" style="72" hidden="1"/>
    <col min="5636" max="5640" width="12.44140625" style="72" hidden="1"/>
    <col min="5641" max="5645" width="12" style="72" hidden="1"/>
    <col min="5646" max="5646" width="11.5546875" style="72" hidden="1"/>
    <col min="5647" max="5650" width="12" style="72" hidden="1"/>
    <col min="5651" max="5659" width="11.5546875" style="72" hidden="1"/>
    <col min="5660" max="5879" width="9.44140625" style="72" hidden="1"/>
    <col min="5880" max="5880" width="2.44140625" style="72" hidden="1"/>
    <col min="5881" max="5881" width="3.5546875" style="72" hidden="1"/>
    <col min="5882" max="5882" width="2.5546875" style="72" hidden="1"/>
    <col min="5883" max="5883" width="39.44140625" style="72" hidden="1"/>
    <col min="5884" max="5884" width="11.44140625" style="72" hidden="1"/>
    <col min="5885" max="5885" width="14.44140625" style="72" hidden="1"/>
    <col min="5886" max="5886" width="11.44140625" style="72" hidden="1"/>
    <col min="5887" max="5887" width="11.5546875" style="72" hidden="1"/>
    <col min="5888" max="5890" width="12.44140625" style="72" hidden="1"/>
    <col min="5891" max="5891" width="12" style="72" hidden="1"/>
    <col min="5892" max="5896" width="12.44140625" style="72" hidden="1"/>
    <col min="5897" max="5901" width="12" style="72" hidden="1"/>
    <col min="5902" max="5902" width="11.5546875" style="72" hidden="1"/>
    <col min="5903" max="5906" width="12" style="72" hidden="1"/>
    <col min="5907" max="5915" width="11.5546875" style="72" hidden="1"/>
    <col min="5916" max="6135" width="9.44140625" style="72" hidden="1"/>
    <col min="6136" max="6136" width="2.44140625" style="72" hidden="1"/>
    <col min="6137" max="6137" width="3.5546875" style="72" hidden="1"/>
    <col min="6138" max="6138" width="2.5546875" style="72" hidden="1"/>
    <col min="6139" max="6139" width="39.44140625" style="72" hidden="1"/>
    <col min="6140" max="6140" width="11.44140625" style="72" hidden="1"/>
    <col min="6141" max="6141" width="14.44140625" style="72" hidden="1"/>
    <col min="6142" max="6142" width="11.44140625" style="72" hidden="1"/>
    <col min="6143" max="6143" width="11.5546875" style="72" hidden="1"/>
    <col min="6144" max="6146" width="12.44140625" style="72" hidden="1"/>
    <col min="6147" max="6147" width="12" style="72" hidden="1"/>
    <col min="6148" max="6152" width="12.44140625" style="72" hidden="1"/>
    <col min="6153" max="6157" width="12" style="72" hidden="1"/>
    <col min="6158" max="6158" width="11.5546875" style="72" hidden="1"/>
    <col min="6159" max="6162" width="12" style="72" hidden="1"/>
    <col min="6163" max="6171" width="11.5546875" style="72" hidden="1"/>
    <col min="6172" max="6391" width="9.44140625" style="72" hidden="1"/>
    <col min="6392" max="6392" width="2.44140625" style="72" hidden="1"/>
    <col min="6393" max="6393" width="3.5546875" style="72" hidden="1"/>
    <col min="6394" max="6394" width="2.5546875" style="72" hidden="1"/>
    <col min="6395" max="6395" width="39.44140625" style="72" hidden="1"/>
    <col min="6396" max="6396" width="11.44140625" style="72" hidden="1"/>
    <col min="6397" max="6397" width="14.44140625" style="72" hidden="1"/>
    <col min="6398" max="6398" width="11.44140625" style="72" hidden="1"/>
    <col min="6399" max="6399" width="11.5546875" style="72" hidden="1"/>
    <col min="6400" max="6402" width="12.44140625" style="72" hidden="1"/>
    <col min="6403" max="6403" width="12" style="72" hidden="1"/>
    <col min="6404" max="6408" width="12.44140625" style="72" hidden="1"/>
    <col min="6409" max="6413" width="12" style="72" hidden="1"/>
    <col min="6414" max="6414" width="11.5546875" style="72" hidden="1"/>
    <col min="6415" max="6418" width="12" style="72" hidden="1"/>
    <col min="6419" max="6427" width="11.5546875" style="72" hidden="1"/>
    <col min="6428" max="6647" width="9.44140625" style="72" hidden="1"/>
    <col min="6648" max="6648" width="2.44140625" style="72" hidden="1"/>
    <col min="6649" max="6649" width="3.5546875" style="72" hidden="1"/>
    <col min="6650" max="6650" width="2.5546875" style="72" hidden="1"/>
    <col min="6651" max="6651" width="39.44140625" style="72" hidden="1"/>
    <col min="6652" max="6652" width="11.44140625" style="72" hidden="1"/>
    <col min="6653" max="6653" width="14.44140625" style="72" hidden="1"/>
    <col min="6654" max="6654" width="11.44140625" style="72" hidden="1"/>
    <col min="6655" max="6655" width="11.5546875" style="72" hidden="1"/>
    <col min="6656" max="6658" width="12.44140625" style="72" hidden="1"/>
    <col min="6659" max="6659" width="12" style="72" hidden="1"/>
    <col min="6660" max="6664" width="12.44140625" style="72" hidden="1"/>
    <col min="6665" max="6669" width="12" style="72" hidden="1"/>
    <col min="6670" max="6670" width="11.5546875" style="72" hidden="1"/>
    <col min="6671" max="6674" width="12" style="72" hidden="1"/>
    <col min="6675" max="6683" width="11.5546875" style="72" hidden="1"/>
    <col min="6684" max="6903" width="9.44140625" style="72" hidden="1"/>
    <col min="6904" max="6904" width="2.44140625" style="72" hidden="1"/>
    <col min="6905" max="6905" width="3.5546875" style="72" hidden="1"/>
    <col min="6906" max="6906" width="2.5546875" style="72" hidden="1"/>
    <col min="6907" max="6907" width="39.44140625" style="72" hidden="1"/>
    <col min="6908" max="6908" width="11.44140625" style="72" hidden="1"/>
    <col min="6909" max="6909" width="14.44140625" style="72" hidden="1"/>
    <col min="6910" max="6910" width="11.44140625" style="72" hidden="1"/>
    <col min="6911" max="6911" width="11.5546875" style="72" hidden="1"/>
    <col min="6912" max="6914" width="12.44140625" style="72" hidden="1"/>
    <col min="6915" max="6915" width="12" style="72" hidden="1"/>
    <col min="6916" max="6920" width="12.44140625" style="72" hidden="1"/>
    <col min="6921" max="6925" width="12" style="72" hidden="1"/>
    <col min="6926" max="6926" width="11.5546875" style="72" hidden="1"/>
    <col min="6927" max="6930" width="12" style="72" hidden="1"/>
    <col min="6931" max="6939" width="11.5546875" style="72" hidden="1"/>
    <col min="6940" max="7159" width="9.44140625" style="72" hidden="1"/>
    <col min="7160" max="7160" width="2.44140625" style="72" hidden="1"/>
    <col min="7161" max="7161" width="3.5546875" style="72" hidden="1"/>
    <col min="7162" max="7162" width="2.5546875" style="72" hidden="1"/>
    <col min="7163" max="7163" width="39.44140625" style="72" hidden="1"/>
    <col min="7164" max="7164" width="11.44140625" style="72" hidden="1"/>
    <col min="7165" max="7165" width="14.44140625" style="72" hidden="1"/>
    <col min="7166" max="7166" width="11.44140625" style="72" hidden="1"/>
    <col min="7167" max="7167" width="11.5546875" style="72" hidden="1"/>
    <col min="7168" max="7170" width="12.44140625" style="72" hidden="1"/>
    <col min="7171" max="7171" width="12" style="72" hidden="1"/>
    <col min="7172" max="7176" width="12.44140625" style="72" hidden="1"/>
    <col min="7177" max="7181" width="12" style="72" hidden="1"/>
    <col min="7182" max="7182" width="11.5546875" style="72" hidden="1"/>
    <col min="7183" max="7186" width="12" style="72" hidden="1"/>
    <col min="7187" max="7195" width="11.5546875" style="72" hidden="1"/>
    <col min="7196" max="7415" width="9.44140625" style="72" hidden="1"/>
    <col min="7416" max="7416" width="2.44140625" style="72" hidden="1"/>
    <col min="7417" max="7417" width="3.5546875" style="72" hidden="1"/>
    <col min="7418" max="7418" width="2.5546875" style="72" hidden="1"/>
    <col min="7419" max="7419" width="39.44140625" style="72" hidden="1"/>
    <col min="7420" max="7420" width="11.44140625" style="72" hidden="1"/>
    <col min="7421" max="7421" width="14.44140625" style="72" hidden="1"/>
    <col min="7422" max="7422" width="11.44140625" style="72" hidden="1"/>
    <col min="7423" max="7423" width="11.5546875" style="72" hidden="1"/>
    <col min="7424" max="7426" width="12.44140625" style="72" hidden="1"/>
    <col min="7427" max="7427" width="12" style="72" hidden="1"/>
    <col min="7428" max="7432" width="12.44140625" style="72" hidden="1"/>
    <col min="7433" max="7437" width="12" style="72" hidden="1"/>
    <col min="7438" max="7438" width="11.5546875" style="72" hidden="1"/>
    <col min="7439" max="7442" width="12" style="72" hidden="1"/>
    <col min="7443" max="7451" width="11.5546875" style="72" hidden="1"/>
    <col min="7452" max="7671" width="9.44140625" style="72" hidden="1"/>
    <col min="7672" max="7672" width="2.44140625" style="72" hidden="1"/>
    <col min="7673" max="7673" width="3.5546875" style="72" hidden="1"/>
    <col min="7674" max="7674" width="2.5546875" style="72" hidden="1"/>
    <col min="7675" max="7675" width="39.44140625" style="72" hidden="1"/>
    <col min="7676" max="7676" width="11.44140625" style="72" hidden="1"/>
    <col min="7677" max="7677" width="14.44140625" style="72" hidden="1"/>
    <col min="7678" max="7678" width="11.44140625" style="72" hidden="1"/>
    <col min="7679" max="7679" width="11.5546875" style="72" hidden="1"/>
    <col min="7680" max="7682" width="12.44140625" style="72" hidden="1"/>
    <col min="7683" max="7683" width="12" style="72" hidden="1"/>
    <col min="7684" max="7688" width="12.44140625" style="72" hidden="1"/>
    <col min="7689" max="7693" width="12" style="72" hidden="1"/>
    <col min="7694" max="7694" width="11.5546875" style="72" hidden="1"/>
    <col min="7695" max="7698" width="12" style="72" hidden="1"/>
    <col min="7699" max="7707" width="11.5546875" style="72" hidden="1"/>
    <col min="7708" max="7927" width="9.44140625" style="72" hidden="1"/>
    <col min="7928" max="7928" width="2.44140625" style="72" hidden="1"/>
    <col min="7929" max="7929" width="3.5546875" style="72" hidden="1"/>
    <col min="7930" max="7930" width="2.5546875" style="72" hidden="1"/>
    <col min="7931" max="7931" width="39.44140625" style="72" hidden="1"/>
    <col min="7932" max="7932" width="11.44140625" style="72" hidden="1"/>
    <col min="7933" max="7933" width="14.44140625" style="72" hidden="1"/>
    <col min="7934" max="7934" width="11.44140625" style="72" hidden="1"/>
    <col min="7935" max="7935" width="11.5546875" style="72" hidden="1"/>
    <col min="7936" max="7938" width="12.44140625" style="72" hidden="1"/>
    <col min="7939" max="7939" width="12" style="72" hidden="1"/>
    <col min="7940" max="7944" width="12.44140625" style="72" hidden="1"/>
    <col min="7945" max="7949" width="12" style="72" hidden="1"/>
    <col min="7950" max="7950" width="11.5546875" style="72" hidden="1"/>
    <col min="7951" max="7954" width="12" style="72" hidden="1"/>
    <col min="7955" max="7963" width="11.5546875" style="72" hidden="1"/>
    <col min="7964" max="8183" width="9.44140625" style="72" hidden="1"/>
    <col min="8184" max="8184" width="2.44140625" style="72" hidden="1"/>
    <col min="8185" max="8185" width="3.5546875" style="72" hidden="1"/>
    <col min="8186" max="8186" width="2.5546875" style="72" hidden="1"/>
    <col min="8187" max="8187" width="39.44140625" style="72" hidden="1"/>
    <col min="8188" max="8188" width="11.44140625" style="72" hidden="1"/>
    <col min="8189" max="8189" width="14.44140625" style="72" hidden="1"/>
    <col min="8190" max="8190" width="11.44140625" style="72" hidden="1"/>
    <col min="8191" max="8191" width="11.5546875" style="72" hidden="1"/>
    <col min="8192" max="8194" width="12.44140625" style="72" hidden="1"/>
    <col min="8195" max="8195" width="12" style="72" hidden="1"/>
    <col min="8196" max="8200" width="12.44140625" style="72" hidden="1"/>
    <col min="8201" max="8205" width="12" style="72" hidden="1"/>
    <col min="8206" max="8206" width="11.5546875" style="72" hidden="1"/>
    <col min="8207" max="8210" width="12" style="72" hidden="1"/>
    <col min="8211" max="8219" width="11.5546875" style="72" hidden="1"/>
    <col min="8220" max="8439" width="9.44140625" style="72" hidden="1"/>
    <col min="8440" max="8440" width="2.44140625" style="72" hidden="1"/>
    <col min="8441" max="8441" width="3.5546875" style="72" hidden="1"/>
    <col min="8442" max="8442" width="2.5546875" style="72" hidden="1"/>
    <col min="8443" max="8443" width="39.44140625" style="72" hidden="1"/>
    <col min="8444" max="8444" width="11.44140625" style="72" hidden="1"/>
    <col min="8445" max="8445" width="14.44140625" style="72" hidden="1"/>
    <col min="8446" max="8446" width="11.44140625" style="72" hidden="1"/>
    <col min="8447" max="8447" width="11.5546875" style="72" hidden="1"/>
    <col min="8448" max="8450" width="12.44140625" style="72" hidden="1"/>
    <col min="8451" max="8451" width="12" style="72" hidden="1"/>
    <col min="8452" max="8456" width="12.44140625" style="72" hidden="1"/>
    <col min="8457" max="8461" width="12" style="72" hidden="1"/>
    <col min="8462" max="8462" width="11.5546875" style="72" hidden="1"/>
    <col min="8463" max="8466" width="12" style="72" hidden="1"/>
    <col min="8467" max="8475" width="11.5546875" style="72" hidden="1"/>
    <col min="8476" max="8695" width="9.44140625" style="72" hidden="1"/>
    <col min="8696" max="8696" width="2.44140625" style="72" hidden="1"/>
    <col min="8697" max="8697" width="3.5546875" style="72" hidden="1"/>
    <col min="8698" max="8698" width="2.5546875" style="72" hidden="1"/>
    <col min="8699" max="8699" width="39.44140625" style="72" hidden="1"/>
    <col min="8700" max="8700" width="11.44140625" style="72" hidden="1"/>
    <col min="8701" max="8701" width="14.44140625" style="72" hidden="1"/>
    <col min="8702" max="8702" width="11.44140625" style="72" hidden="1"/>
    <col min="8703" max="8703" width="11.5546875" style="72" hidden="1"/>
    <col min="8704" max="8706" width="12.44140625" style="72" hidden="1"/>
    <col min="8707" max="8707" width="12" style="72" hidden="1"/>
    <col min="8708" max="8712" width="12.44140625" style="72" hidden="1"/>
    <col min="8713" max="8717" width="12" style="72" hidden="1"/>
    <col min="8718" max="8718" width="11.5546875" style="72" hidden="1"/>
    <col min="8719" max="8722" width="12" style="72" hidden="1"/>
    <col min="8723" max="8731" width="11.5546875" style="72" hidden="1"/>
    <col min="8732" max="8951" width="9.44140625" style="72" hidden="1"/>
    <col min="8952" max="8952" width="2.44140625" style="72" hidden="1"/>
    <col min="8953" max="8953" width="3.5546875" style="72" hidden="1"/>
    <col min="8954" max="8954" width="2.5546875" style="72" hidden="1"/>
    <col min="8955" max="8955" width="39.44140625" style="72" hidden="1"/>
    <col min="8956" max="8956" width="11.44140625" style="72" hidden="1"/>
    <col min="8957" max="8957" width="14.44140625" style="72" hidden="1"/>
    <col min="8958" max="8958" width="11.44140625" style="72" hidden="1"/>
    <col min="8959" max="8959" width="11.5546875" style="72" hidden="1"/>
    <col min="8960" max="8962" width="12.44140625" style="72" hidden="1"/>
    <col min="8963" max="8963" width="12" style="72" hidden="1"/>
    <col min="8964" max="8968" width="12.44140625" style="72" hidden="1"/>
    <col min="8969" max="8973" width="12" style="72" hidden="1"/>
    <col min="8974" max="8974" width="11.5546875" style="72" hidden="1"/>
    <col min="8975" max="8978" width="12" style="72" hidden="1"/>
    <col min="8979" max="8987" width="11.5546875" style="72" hidden="1"/>
    <col min="8988" max="9207" width="9.44140625" style="72" hidden="1"/>
    <col min="9208" max="9208" width="2.44140625" style="72" hidden="1"/>
    <col min="9209" max="9209" width="3.5546875" style="72" hidden="1"/>
    <col min="9210" max="9210" width="2.5546875" style="72" hidden="1"/>
    <col min="9211" max="9211" width="39.44140625" style="72" hidden="1"/>
    <col min="9212" max="9212" width="11.44140625" style="72" hidden="1"/>
    <col min="9213" max="9213" width="14.44140625" style="72" hidden="1"/>
    <col min="9214" max="9214" width="11.44140625" style="72" hidden="1"/>
    <col min="9215" max="9215" width="11.5546875" style="72" hidden="1"/>
    <col min="9216" max="9218" width="12.44140625" style="72" hidden="1"/>
    <col min="9219" max="9219" width="12" style="72" hidden="1"/>
    <col min="9220" max="9224" width="12.44140625" style="72" hidden="1"/>
    <col min="9225" max="9229" width="12" style="72" hidden="1"/>
    <col min="9230" max="9230" width="11.5546875" style="72" hidden="1"/>
    <col min="9231" max="9234" width="12" style="72" hidden="1"/>
    <col min="9235" max="9243" width="11.5546875" style="72" hidden="1"/>
    <col min="9244" max="9463" width="9.44140625" style="72" hidden="1"/>
    <col min="9464" max="9464" width="2.44140625" style="72" hidden="1"/>
    <col min="9465" max="9465" width="3.5546875" style="72" hidden="1"/>
    <col min="9466" max="9466" width="2.5546875" style="72" hidden="1"/>
    <col min="9467" max="9467" width="39.44140625" style="72" hidden="1"/>
    <col min="9468" max="9468" width="11.44140625" style="72" hidden="1"/>
    <col min="9469" max="9469" width="14.44140625" style="72" hidden="1"/>
    <col min="9470" max="9470" width="11.44140625" style="72" hidden="1"/>
    <col min="9471" max="9471" width="11.5546875" style="72" hidden="1"/>
    <col min="9472" max="9474" width="12.44140625" style="72" hidden="1"/>
    <col min="9475" max="9475" width="12" style="72" hidden="1"/>
    <col min="9476" max="9480" width="12.44140625" style="72" hidden="1"/>
    <col min="9481" max="9485" width="12" style="72" hidden="1"/>
    <col min="9486" max="9486" width="11.5546875" style="72" hidden="1"/>
    <col min="9487" max="9490" width="12" style="72" hidden="1"/>
    <col min="9491" max="9499" width="11.5546875" style="72" hidden="1"/>
    <col min="9500" max="9719" width="9.44140625" style="72" hidden="1"/>
    <col min="9720" max="9720" width="2.44140625" style="72" hidden="1"/>
    <col min="9721" max="9721" width="3.5546875" style="72" hidden="1"/>
    <col min="9722" max="9722" width="2.5546875" style="72" hidden="1"/>
    <col min="9723" max="9723" width="39.44140625" style="72" hidden="1"/>
    <col min="9724" max="9724" width="11.44140625" style="72" hidden="1"/>
    <col min="9725" max="9725" width="14.44140625" style="72" hidden="1"/>
    <col min="9726" max="9726" width="11.44140625" style="72" hidden="1"/>
    <col min="9727" max="9727" width="11.5546875" style="72" hidden="1"/>
    <col min="9728" max="9730" width="12.44140625" style="72" hidden="1"/>
    <col min="9731" max="9731" width="12" style="72" hidden="1"/>
    <col min="9732" max="9736" width="12.44140625" style="72" hidden="1"/>
    <col min="9737" max="9741" width="12" style="72" hidden="1"/>
    <col min="9742" max="9742" width="11.5546875" style="72" hidden="1"/>
    <col min="9743" max="9746" width="12" style="72" hidden="1"/>
    <col min="9747" max="9755" width="11.5546875" style="72" hidden="1"/>
    <col min="9756" max="9975" width="9.44140625" style="72" hidden="1"/>
    <col min="9976" max="9976" width="2.44140625" style="72" hidden="1"/>
    <col min="9977" max="9977" width="3.5546875" style="72" hidden="1"/>
    <col min="9978" max="9978" width="2.5546875" style="72" hidden="1"/>
    <col min="9979" max="9979" width="39.44140625" style="72" hidden="1"/>
    <col min="9980" max="9980" width="11.44140625" style="72" hidden="1"/>
    <col min="9981" max="9981" width="14.44140625" style="72" hidden="1"/>
    <col min="9982" max="9982" width="11.44140625" style="72" hidden="1"/>
    <col min="9983" max="9983" width="11.5546875" style="72" hidden="1"/>
    <col min="9984" max="9986" width="12.44140625" style="72" hidden="1"/>
    <col min="9987" max="9987" width="12" style="72" hidden="1"/>
    <col min="9988" max="9992" width="12.44140625" style="72" hidden="1"/>
    <col min="9993" max="9997" width="12" style="72" hidden="1"/>
    <col min="9998" max="9998" width="11.5546875" style="72" hidden="1"/>
    <col min="9999" max="10002" width="12" style="72" hidden="1"/>
    <col min="10003" max="10011" width="11.5546875" style="72" hidden="1"/>
    <col min="10012" max="10231" width="9.44140625" style="72" hidden="1"/>
    <col min="10232" max="10232" width="2.44140625" style="72" hidden="1"/>
    <col min="10233" max="10233" width="3.5546875" style="72" hidden="1"/>
    <col min="10234" max="10234" width="2.5546875" style="72" hidden="1"/>
    <col min="10235" max="10235" width="39.44140625" style="72" hidden="1"/>
    <col min="10236" max="10236" width="11.44140625" style="72" hidden="1"/>
    <col min="10237" max="10237" width="14.44140625" style="72" hidden="1"/>
    <col min="10238" max="10238" width="11.44140625" style="72" hidden="1"/>
    <col min="10239" max="10239" width="11.5546875" style="72" hidden="1"/>
    <col min="10240" max="10242" width="12.44140625" style="72" hidden="1"/>
    <col min="10243" max="10243" width="12" style="72" hidden="1"/>
    <col min="10244" max="10248" width="12.44140625" style="72" hidden="1"/>
    <col min="10249" max="10253" width="12" style="72" hidden="1"/>
    <col min="10254" max="10254" width="11.5546875" style="72" hidden="1"/>
    <col min="10255" max="10258" width="12" style="72" hidden="1"/>
    <col min="10259" max="10267" width="11.5546875" style="72" hidden="1"/>
    <col min="10268" max="10487" width="9.44140625" style="72" hidden="1"/>
    <col min="10488" max="10488" width="2.44140625" style="72" hidden="1"/>
    <col min="10489" max="10489" width="3.5546875" style="72" hidden="1"/>
    <col min="10490" max="10490" width="2.5546875" style="72" hidden="1"/>
    <col min="10491" max="10491" width="39.44140625" style="72" hidden="1"/>
    <col min="10492" max="10492" width="11.44140625" style="72" hidden="1"/>
    <col min="10493" max="10493" width="14.44140625" style="72" hidden="1"/>
    <col min="10494" max="10494" width="11.44140625" style="72" hidden="1"/>
    <col min="10495" max="10495" width="11.5546875" style="72" hidden="1"/>
    <col min="10496" max="10498" width="12.44140625" style="72" hidden="1"/>
    <col min="10499" max="10499" width="12" style="72" hidden="1"/>
    <col min="10500" max="10504" width="12.44140625" style="72" hidden="1"/>
    <col min="10505" max="10509" width="12" style="72" hidden="1"/>
    <col min="10510" max="10510" width="11.5546875" style="72" hidden="1"/>
    <col min="10511" max="10514" width="12" style="72" hidden="1"/>
    <col min="10515" max="10523" width="11.5546875" style="72" hidden="1"/>
    <col min="10524" max="10743" width="9.44140625" style="72" hidden="1"/>
    <col min="10744" max="10744" width="2.44140625" style="72" hidden="1"/>
    <col min="10745" max="10745" width="3.5546875" style="72" hidden="1"/>
    <col min="10746" max="10746" width="2.5546875" style="72" hidden="1"/>
    <col min="10747" max="10747" width="39.44140625" style="72" hidden="1"/>
    <col min="10748" max="10748" width="11.44140625" style="72" hidden="1"/>
    <col min="10749" max="10749" width="14.44140625" style="72" hidden="1"/>
    <col min="10750" max="10750" width="11.44140625" style="72" hidden="1"/>
    <col min="10751" max="10751" width="11.5546875" style="72" hidden="1"/>
    <col min="10752" max="10754" width="12.44140625" style="72" hidden="1"/>
    <col min="10755" max="10755" width="12" style="72" hidden="1"/>
    <col min="10756" max="10760" width="12.44140625" style="72" hidden="1"/>
    <col min="10761" max="10765" width="12" style="72" hidden="1"/>
    <col min="10766" max="10766" width="11.5546875" style="72" hidden="1"/>
    <col min="10767" max="10770" width="12" style="72" hidden="1"/>
    <col min="10771" max="10779" width="11.5546875" style="72" hidden="1"/>
    <col min="10780" max="10999" width="9.44140625" style="72" hidden="1"/>
    <col min="11000" max="11000" width="2.44140625" style="72" hidden="1"/>
    <col min="11001" max="11001" width="3.5546875" style="72" hidden="1"/>
    <col min="11002" max="11002" width="2.5546875" style="72" hidden="1"/>
    <col min="11003" max="11003" width="39.44140625" style="72" hidden="1"/>
    <col min="11004" max="11004" width="11.44140625" style="72" hidden="1"/>
    <col min="11005" max="11005" width="14.44140625" style="72" hidden="1"/>
    <col min="11006" max="11006" width="11.44140625" style="72" hidden="1"/>
    <col min="11007" max="11007" width="11.5546875" style="72" hidden="1"/>
    <col min="11008" max="11010" width="12.44140625" style="72" hidden="1"/>
    <col min="11011" max="11011" width="12" style="72" hidden="1"/>
    <col min="11012" max="11016" width="12.44140625" style="72" hidden="1"/>
    <col min="11017" max="11021" width="12" style="72" hidden="1"/>
    <col min="11022" max="11022" width="11.5546875" style="72" hidden="1"/>
    <col min="11023" max="11026" width="12" style="72" hidden="1"/>
    <col min="11027" max="11035" width="11.5546875" style="72" hidden="1"/>
    <col min="11036" max="11255" width="9.44140625" style="72" hidden="1"/>
    <col min="11256" max="11256" width="2.44140625" style="72" hidden="1"/>
    <col min="11257" max="11257" width="3.5546875" style="72" hidden="1"/>
    <col min="11258" max="11258" width="2.5546875" style="72" hidden="1"/>
    <col min="11259" max="11259" width="39.44140625" style="72" hidden="1"/>
    <col min="11260" max="11260" width="11.44140625" style="72" hidden="1"/>
    <col min="11261" max="11261" width="14.44140625" style="72" hidden="1"/>
    <col min="11262" max="11262" width="11.44140625" style="72" hidden="1"/>
    <col min="11263" max="11263" width="11.5546875" style="72" hidden="1"/>
    <col min="11264" max="11266" width="12.44140625" style="72" hidden="1"/>
    <col min="11267" max="11267" width="12" style="72" hidden="1"/>
    <col min="11268" max="11272" width="12.44140625" style="72" hidden="1"/>
    <col min="11273" max="11277" width="12" style="72" hidden="1"/>
    <col min="11278" max="11278" width="11.5546875" style="72" hidden="1"/>
    <col min="11279" max="11282" width="12" style="72" hidden="1"/>
    <col min="11283" max="11291" width="11.5546875" style="72" hidden="1"/>
    <col min="11292" max="11511" width="9.44140625" style="72" hidden="1"/>
    <col min="11512" max="11512" width="2.44140625" style="72" hidden="1"/>
    <col min="11513" max="11513" width="3.5546875" style="72" hidden="1"/>
    <col min="11514" max="11514" width="2.5546875" style="72" hidden="1"/>
    <col min="11515" max="11515" width="39.44140625" style="72" hidden="1"/>
    <col min="11516" max="11516" width="11.44140625" style="72" hidden="1"/>
    <col min="11517" max="11517" width="14.44140625" style="72" hidden="1"/>
    <col min="11518" max="11518" width="11.44140625" style="72" hidden="1"/>
    <col min="11519" max="11519" width="11.5546875" style="72" hidden="1"/>
    <col min="11520" max="11522" width="12.44140625" style="72" hidden="1"/>
    <col min="11523" max="11523" width="12" style="72" hidden="1"/>
    <col min="11524" max="11528" width="12.44140625" style="72" hidden="1"/>
    <col min="11529" max="11533" width="12" style="72" hidden="1"/>
    <col min="11534" max="11534" width="11.5546875" style="72" hidden="1"/>
    <col min="11535" max="11538" width="12" style="72" hidden="1"/>
    <col min="11539" max="11547" width="11.5546875" style="72" hidden="1"/>
    <col min="11548" max="11767" width="9.44140625" style="72" hidden="1"/>
    <col min="11768" max="11768" width="2.44140625" style="72" hidden="1"/>
    <col min="11769" max="11769" width="3.5546875" style="72" hidden="1"/>
    <col min="11770" max="11770" width="2.5546875" style="72" hidden="1"/>
    <col min="11771" max="11771" width="39.44140625" style="72" hidden="1"/>
    <col min="11772" max="11772" width="11.44140625" style="72" hidden="1"/>
    <col min="11773" max="11773" width="14.44140625" style="72" hidden="1"/>
    <col min="11774" max="11774" width="11.44140625" style="72" hidden="1"/>
    <col min="11775" max="11775" width="11.5546875" style="72" hidden="1"/>
    <col min="11776" max="11778" width="12.44140625" style="72" hidden="1"/>
    <col min="11779" max="11779" width="12" style="72" hidden="1"/>
    <col min="11780" max="11784" width="12.44140625" style="72" hidden="1"/>
    <col min="11785" max="11789" width="12" style="72" hidden="1"/>
    <col min="11790" max="11790" width="11.5546875" style="72" hidden="1"/>
    <col min="11791" max="11794" width="12" style="72" hidden="1"/>
    <col min="11795" max="11803" width="11.5546875" style="72" hidden="1"/>
    <col min="11804" max="12023" width="9.44140625" style="72" hidden="1"/>
    <col min="12024" max="12024" width="2.44140625" style="72" hidden="1"/>
    <col min="12025" max="12025" width="3.5546875" style="72" hidden="1"/>
    <col min="12026" max="12026" width="2.5546875" style="72" hidden="1"/>
    <col min="12027" max="12027" width="39.44140625" style="72" hidden="1"/>
    <col min="12028" max="12028" width="11.44140625" style="72" hidden="1"/>
    <col min="12029" max="12029" width="14.44140625" style="72" hidden="1"/>
    <col min="12030" max="12030" width="11.44140625" style="72" hidden="1"/>
    <col min="12031" max="12031" width="11.5546875" style="72" hidden="1"/>
    <col min="12032" max="12034" width="12.44140625" style="72" hidden="1"/>
    <col min="12035" max="12035" width="12" style="72" hidden="1"/>
    <col min="12036" max="12040" width="12.44140625" style="72" hidden="1"/>
    <col min="12041" max="12045" width="12" style="72" hidden="1"/>
    <col min="12046" max="12046" width="11.5546875" style="72" hidden="1"/>
    <col min="12047" max="12050" width="12" style="72" hidden="1"/>
    <col min="12051" max="12059" width="11.5546875" style="72" hidden="1"/>
    <col min="12060" max="12279" width="9.44140625" style="72" hidden="1"/>
    <col min="12280" max="12280" width="2.44140625" style="72" hidden="1"/>
    <col min="12281" max="12281" width="3.5546875" style="72" hidden="1"/>
    <col min="12282" max="12282" width="2.5546875" style="72" hidden="1"/>
    <col min="12283" max="12283" width="39.44140625" style="72" hidden="1"/>
    <col min="12284" max="12284" width="11.44140625" style="72" hidden="1"/>
    <col min="12285" max="12285" width="14.44140625" style="72" hidden="1"/>
    <col min="12286" max="12286" width="11.44140625" style="72" hidden="1"/>
    <col min="12287" max="12287" width="11.5546875" style="72" hidden="1"/>
    <col min="12288" max="12290" width="12.44140625" style="72" hidden="1"/>
    <col min="12291" max="12291" width="12" style="72" hidden="1"/>
    <col min="12292" max="12296" width="12.44140625" style="72" hidden="1"/>
    <col min="12297" max="12301" width="12" style="72" hidden="1"/>
    <col min="12302" max="12302" width="11.5546875" style="72" hidden="1"/>
    <col min="12303" max="12306" width="12" style="72" hidden="1"/>
    <col min="12307" max="12315" width="11.5546875" style="72" hidden="1"/>
    <col min="12316" max="12535" width="9.44140625" style="72" hidden="1"/>
    <col min="12536" max="12536" width="2.44140625" style="72" hidden="1"/>
    <col min="12537" max="12537" width="3.5546875" style="72" hidden="1"/>
    <col min="12538" max="12538" width="2.5546875" style="72" hidden="1"/>
    <col min="12539" max="12539" width="39.44140625" style="72" hidden="1"/>
    <col min="12540" max="12540" width="11.44140625" style="72" hidden="1"/>
    <col min="12541" max="12541" width="14.44140625" style="72" hidden="1"/>
    <col min="12542" max="12542" width="11.44140625" style="72" hidden="1"/>
    <col min="12543" max="12543" width="11.5546875" style="72" hidden="1"/>
    <col min="12544" max="12546" width="12.44140625" style="72" hidden="1"/>
    <col min="12547" max="12547" width="12" style="72" hidden="1"/>
    <col min="12548" max="12552" width="12.44140625" style="72" hidden="1"/>
    <col min="12553" max="12557" width="12" style="72" hidden="1"/>
    <col min="12558" max="12558" width="11.5546875" style="72" hidden="1"/>
    <col min="12559" max="12562" width="12" style="72" hidden="1"/>
    <col min="12563" max="12571" width="11.5546875" style="72" hidden="1"/>
    <col min="12572" max="12791" width="9.44140625" style="72" hidden="1"/>
    <col min="12792" max="12792" width="2.44140625" style="72" hidden="1"/>
    <col min="12793" max="12793" width="3.5546875" style="72" hidden="1"/>
    <col min="12794" max="12794" width="2.5546875" style="72" hidden="1"/>
    <col min="12795" max="12795" width="39.44140625" style="72" hidden="1"/>
    <col min="12796" max="12796" width="11.44140625" style="72" hidden="1"/>
    <col min="12797" max="12797" width="14.44140625" style="72" hidden="1"/>
    <col min="12798" max="12798" width="11.44140625" style="72" hidden="1"/>
    <col min="12799" max="12799" width="11.5546875" style="72" hidden="1"/>
    <col min="12800" max="12802" width="12.44140625" style="72" hidden="1"/>
    <col min="12803" max="12803" width="12" style="72" hidden="1"/>
    <col min="12804" max="12808" width="12.44140625" style="72" hidden="1"/>
    <col min="12809" max="12813" width="12" style="72" hidden="1"/>
    <col min="12814" max="12814" width="11.5546875" style="72" hidden="1"/>
    <col min="12815" max="12818" width="12" style="72" hidden="1"/>
    <col min="12819" max="12827" width="11.5546875" style="72" hidden="1"/>
    <col min="12828" max="13047" width="9.44140625" style="72" hidden="1"/>
    <col min="13048" max="13048" width="2.44140625" style="72" hidden="1"/>
    <col min="13049" max="13049" width="3.5546875" style="72" hidden="1"/>
    <col min="13050" max="13050" width="2.5546875" style="72" hidden="1"/>
    <col min="13051" max="13051" width="39.44140625" style="72" hidden="1"/>
    <col min="13052" max="13052" width="11.44140625" style="72" hidden="1"/>
    <col min="13053" max="13053" width="14.44140625" style="72" hidden="1"/>
    <col min="13054" max="13054" width="11.44140625" style="72" hidden="1"/>
    <col min="13055" max="13055" width="11.5546875" style="72" hidden="1"/>
    <col min="13056" max="13058" width="12.44140625" style="72" hidden="1"/>
    <col min="13059" max="13059" width="12" style="72" hidden="1"/>
    <col min="13060" max="13064" width="12.44140625" style="72" hidden="1"/>
    <col min="13065" max="13069" width="12" style="72" hidden="1"/>
    <col min="13070" max="13070" width="11.5546875" style="72" hidden="1"/>
    <col min="13071" max="13074" width="12" style="72" hidden="1"/>
    <col min="13075" max="13083" width="11.5546875" style="72" hidden="1"/>
    <col min="13084" max="13303" width="9.44140625" style="72" hidden="1"/>
    <col min="13304" max="13304" width="2.44140625" style="72" hidden="1"/>
    <col min="13305" max="13305" width="3.5546875" style="72" hidden="1"/>
    <col min="13306" max="13306" width="2.5546875" style="72" hidden="1"/>
    <col min="13307" max="13307" width="39.44140625" style="72" hidden="1"/>
    <col min="13308" max="13308" width="11.44140625" style="72" hidden="1"/>
    <col min="13309" max="13309" width="14.44140625" style="72" hidden="1"/>
    <col min="13310" max="13310" width="11.44140625" style="72" hidden="1"/>
    <col min="13311" max="13311" width="11.5546875" style="72" hidden="1"/>
    <col min="13312" max="13314" width="12.44140625" style="72" hidden="1"/>
    <col min="13315" max="13315" width="12" style="72" hidden="1"/>
    <col min="13316" max="13320" width="12.44140625" style="72" hidden="1"/>
    <col min="13321" max="13325" width="12" style="72" hidden="1"/>
    <col min="13326" max="13326" width="11.5546875" style="72" hidden="1"/>
    <col min="13327" max="13330" width="12" style="72" hidden="1"/>
    <col min="13331" max="13339" width="11.5546875" style="72" hidden="1"/>
    <col min="13340" max="13559" width="9.44140625" style="72" hidden="1"/>
    <col min="13560" max="13560" width="2.44140625" style="72" hidden="1"/>
    <col min="13561" max="13561" width="3.5546875" style="72" hidden="1"/>
    <col min="13562" max="13562" width="2.5546875" style="72" hidden="1"/>
    <col min="13563" max="13563" width="39.44140625" style="72" hidden="1"/>
    <col min="13564" max="13564" width="11.44140625" style="72" hidden="1"/>
    <col min="13565" max="13565" width="14.44140625" style="72" hidden="1"/>
    <col min="13566" max="13566" width="11.44140625" style="72" hidden="1"/>
    <col min="13567" max="13567" width="11.5546875" style="72" hidden="1"/>
    <col min="13568" max="13570" width="12.44140625" style="72" hidden="1"/>
    <col min="13571" max="13571" width="12" style="72" hidden="1"/>
    <col min="13572" max="13576" width="12.44140625" style="72" hidden="1"/>
    <col min="13577" max="13581" width="12" style="72" hidden="1"/>
    <col min="13582" max="13582" width="11.5546875" style="72" hidden="1"/>
    <col min="13583" max="13586" width="12" style="72" hidden="1"/>
    <col min="13587" max="13595" width="11.5546875" style="72" hidden="1"/>
    <col min="13596" max="13815" width="9.44140625" style="72" hidden="1"/>
    <col min="13816" max="13816" width="2.44140625" style="72" hidden="1"/>
    <col min="13817" max="13817" width="3.5546875" style="72" hidden="1"/>
    <col min="13818" max="13818" width="2.5546875" style="72" hidden="1"/>
    <col min="13819" max="13819" width="39.44140625" style="72" hidden="1"/>
    <col min="13820" max="13820" width="11.44140625" style="72" hidden="1"/>
    <col min="13821" max="13821" width="14.44140625" style="72" hidden="1"/>
    <col min="13822" max="13822" width="11.44140625" style="72" hidden="1"/>
    <col min="13823" max="13823" width="11.5546875" style="72" hidden="1"/>
    <col min="13824" max="13826" width="12.44140625" style="72" hidden="1"/>
    <col min="13827" max="13827" width="12" style="72" hidden="1"/>
    <col min="13828" max="13832" width="12.44140625" style="72" hidden="1"/>
    <col min="13833" max="13837" width="12" style="72" hidden="1"/>
    <col min="13838" max="13838" width="11.5546875" style="72" hidden="1"/>
    <col min="13839" max="13842" width="12" style="72" hidden="1"/>
    <col min="13843" max="13851" width="11.5546875" style="72" hidden="1"/>
    <col min="13852" max="14071" width="9.44140625" style="72" hidden="1"/>
    <col min="14072" max="14072" width="2.44140625" style="72" hidden="1"/>
    <col min="14073" max="14073" width="3.5546875" style="72" hidden="1"/>
    <col min="14074" max="14074" width="2.5546875" style="72" hidden="1"/>
    <col min="14075" max="14075" width="39.44140625" style="72" hidden="1"/>
    <col min="14076" max="14076" width="11.44140625" style="72" hidden="1"/>
    <col min="14077" max="14077" width="14.44140625" style="72" hidden="1"/>
    <col min="14078" max="14078" width="11.44140625" style="72" hidden="1"/>
    <col min="14079" max="14079" width="11.5546875" style="72" hidden="1"/>
    <col min="14080" max="14082" width="12.44140625" style="72" hidden="1"/>
    <col min="14083" max="14083" width="12" style="72" hidden="1"/>
    <col min="14084" max="14088" width="12.44140625" style="72" hidden="1"/>
    <col min="14089" max="14093" width="12" style="72" hidden="1"/>
    <col min="14094" max="14094" width="11.5546875" style="72" hidden="1"/>
    <col min="14095" max="14098" width="12" style="72" hidden="1"/>
    <col min="14099" max="14107" width="11.5546875" style="72" hidden="1"/>
    <col min="14108" max="14327" width="9.44140625" style="72" hidden="1"/>
    <col min="14328" max="14328" width="2.44140625" style="72" hidden="1"/>
    <col min="14329" max="14329" width="3.5546875" style="72" hidden="1"/>
    <col min="14330" max="14330" width="2.5546875" style="72" hidden="1"/>
    <col min="14331" max="14331" width="39.44140625" style="72" hidden="1"/>
    <col min="14332" max="14332" width="11.44140625" style="72" hidden="1"/>
    <col min="14333" max="14333" width="14.44140625" style="72" hidden="1"/>
    <col min="14334" max="14334" width="11.44140625" style="72" hidden="1"/>
    <col min="14335" max="14335" width="11.5546875" style="72" hidden="1"/>
    <col min="14336" max="14338" width="12.44140625" style="72" hidden="1"/>
    <col min="14339" max="14339" width="12" style="72" hidden="1"/>
    <col min="14340" max="14344" width="12.44140625" style="72" hidden="1"/>
    <col min="14345" max="14349" width="12" style="72" hidden="1"/>
    <col min="14350" max="14350" width="11.5546875" style="72" hidden="1"/>
    <col min="14351" max="14354" width="12" style="72" hidden="1"/>
    <col min="14355" max="14363" width="11.5546875" style="72" hidden="1"/>
    <col min="14364" max="14583" width="9.44140625" style="72" hidden="1"/>
    <col min="14584" max="14584" width="2.44140625" style="72" hidden="1"/>
    <col min="14585" max="14585" width="3.5546875" style="72" hidden="1"/>
    <col min="14586" max="14586" width="2.5546875" style="72" hidden="1"/>
    <col min="14587" max="14587" width="39.44140625" style="72" hidden="1"/>
    <col min="14588" max="14588" width="11.44140625" style="72" hidden="1"/>
    <col min="14589" max="14589" width="14.44140625" style="72" hidden="1"/>
    <col min="14590" max="14590" width="11.44140625" style="72" hidden="1"/>
    <col min="14591" max="14591" width="11.5546875" style="72" hidden="1"/>
    <col min="14592" max="14594" width="12.44140625" style="72" hidden="1"/>
    <col min="14595" max="14595" width="12" style="72" hidden="1"/>
    <col min="14596" max="14600" width="12.44140625" style="72" hidden="1"/>
    <col min="14601" max="14605" width="12" style="72" hidden="1"/>
    <col min="14606" max="14606" width="11.5546875" style="72" hidden="1"/>
    <col min="14607" max="14610" width="12" style="72" hidden="1"/>
    <col min="14611" max="14619" width="11.5546875" style="72" hidden="1"/>
    <col min="14620" max="14839" width="9.44140625" style="72" hidden="1"/>
    <col min="14840" max="14840" width="2.44140625" style="72" hidden="1"/>
    <col min="14841" max="14841" width="3.5546875" style="72" hidden="1"/>
    <col min="14842" max="14842" width="2.5546875" style="72" hidden="1"/>
    <col min="14843" max="14843" width="39.44140625" style="72" hidden="1"/>
    <col min="14844" max="14844" width="11.44140625" style="72" hidden="1"/>
    <col min="14845" max="14845" width="14.44140625" style="72" hidden="1"/>
    <col min="14846" max="14846" width="11.44140625" style="72" hidden="1"/>
    <col min="14847" max="14847" width="11.5546875" style="72" hidden="1"/>
    <col min="14848" max="14850" width="12.44140625" style="72" hidden="1"/>
    <col min="14851" max="14851" width="12" style="72" hidden="1"/>
    <col min="14852" max="14856" width="12.44140625" style="72" hidden="1"/>
    <col min="14857" max="14861" width="12" style="72" hidden="1"/>
    <col min="14862" max="14862" width="11.5546875" style="72" hidden="1"/>
    <col min="14863" max="14866" width="12" style="72" hidden="1"/>
    <col min="14867" max="14875" width="11.5546875" style="72" hidden="1"/>
    <col min="14876" max="15095" width="9.44140625" style="72" hidden="1"/>
    <col min="15096" max="15096" width="2.44140625" style="72" hidden="1"/>
    <col min="15097" max="15097" width="3.5546875" style="72" hidden="1"/>
    <col min="15098" max="15098" width="2.5546875" style="72" hidden="1"/>
    <col min="15099" max="15099" width="39.44140625" style="72" hidden="1"/>
    <col min="15100" max="15100" width="11.44140625" style="72" hidden="1"/>
    <col min="15101" max="15101" width="14.44140625" style="72" hidden="1"/>
    <col min="15102" max="15102" width="11.44140625" style="72" hidden="1"/>
    <col min="15103" max="15103" width="11.5546875" style="72" hidden="1"/>
    <col min="15104" max="15106" width="12.44140625" style="72" hidden="1"/>
    <col min="15107" max="15107" width="12" style="72" hidden="1"/>
    <col min="15108" max="15112" width="12.44140625" style="72" hidden="1"/>
    <col min="15113" max="15117" width="12" style="72" hidden="1"/>
    <col min="15118" max="15118" width="11.5546875" style="72" hidden="1"/>
    <col min="15119" max="15122" width="12" style="72" hidden="1"/>
    <col min="15123" max="15131" width="11.5546875" style="72" hidden="1"/>
    <col min="15132" max="15351" width="9.44140625" style="72" hidden="1"/>
    <col min="15352" max="15352" width="2.44140625" style="72" hidden="1"/>
    <col min="15353" max="15353" width="3.5546875" style="72" hidden="1"/>
    <col min="15354" max="15354" width="2.5546875" style="72" hidden="1"/>
    <col min="15355" max="15355" width="39.44140625" style="72" hidden="1"/>
    <col min="15356" max="15356" width="11.44140625" style="72" hidden="1"/>
    <col min="15357" max="15357" width="14.44140625" style="72" hidden="1"/>
    <col min="15358" max="15358" width="11.44140625" style="72" hidden="1"/>
    <col min="15359" max="15359" width="11.5546875" style="72" hidden="1"/>
    <col min="15360" max="15362" width="12.44140625" style="72" hidden="1"/>
    <col min="15363" max="15363" width="12" style="72" hidden="1"/>
    <col min="15364" max="15368" width="12.44140625" style="72" hidden="1"/>
    <col min="15369" max="15373" width="12" style="72" hidden="1"/>
    <col min="15374" max="15374" width="11.5546875" style="72" hidden="1"/>
    <col min="15375" max="15378" width="12" style="72" hidden="1"/>
    <col min="15379" max="15387" width="11.5546875" style="72" hidden="1"/>
    <col min="15388" max="15607" width="9.44140625" style="72" hidden="1"/>
    <col min="15608" max="15608" width="2.44140625" style="72" hidden="1"/>
    <col min="15609" max="15609" width="3.5546875" style="72" hidden="1"/>
    <col min="15610" max="15610" width="2.5546875" style="72" hidden="1"/>
    <col min="15611" max="15611" width="39.44140625" style="72" hidden="1"/>
    <col min="15612" max="15612" width="11.44140625" style="72" hidden="1"/>
    <col min="15613" max="15613" width="14.44140625" style="72" hidden="1"/>
    <col min="15614" max="15614" width="11.44140625" style="72" hidden="1"/>
    <col min="15615" max="15615" width="11.5546875" style="72" hidden="1"/>
    <col min="15616" max="15618" width="12.44140625" style="72" hidden="1"/>
    <col min="15619" max="15619" width="12" style="72" hidden="1"/>
    <col min="15620" max="15624" width="12.44140625" style="72" hidden="1"/>
    <col min="15625" max="15629" width="12" style="72" hidden="1"/>
    <col min="15630" max="15630" width="11.5546875" style="72" hidden="1"/>
    <col min="15631" max="15634" width="12" style="72" hidden="1"/>
    <col min="15635" max="15643" width="11.5546875" style="72" hidden="1"/>
    <col min="15644" max="15863" width="9.44140625" style="72" hidden="1"/>
    <col min="15864" max="15864" width="2.44140625" style="72" hidden="1"/>
    <col min="15865" max="15865" width="3.5546875" style="72" hidden="1"/>
    <col min="15866" max="15866" width="2.5546875" style="72" hidden="1"/>
    <col min="15867" max="15867" width="39.44140625" style="72" hidden="1"/>
    <col min="15868" max="15868" width="11.44140625" style="72" hidden="1"/>
    <col min="15869" max="15869" width="14.44140625" style="72" hidden="1"/>
    <col min="15870" max="15870" width="11.44140625" style="72" hidden="1"/>
    <col min="15871" max="15871" width="11.5546875" style="72" hidden="1"/>
    <col min="15872" max="15874" width="12.44140625" style="72" hidden="1"/>
    <col min="15875" max="15875" width="12" style="72" hidden="1"/>
    <col min="15876" max="15880" width="12.44140625" style="72" hidden="1"/>
    <col min="15881" max="15885" width="12" style="72" hidden="1"/>
    <col min="15886" max="15886" width="11.5546875" style="72" hidden="1"/>
    <col min="15887" max="15890" width="12" style="72" hidden="1"/>
    <col min="15891" max="15899" width="11.5546875" style="72" hidden="1"/>
    <col min="15900" max="16119" width="9.44140625" style="72" hidden="1"/>
    <col min="16120" max="16120" width="2.44140625" style="72" hidden="1"/>
    <col min="16121" max="16121" width="3.5546875" style="72" hidden="1"/>
    <col min="16122" max="16122" width="2.5546875" style="72" hidden="1"/>
    <col min="16123" max="16123" width="39.44140625" style="72" hidden="1"/>
    <col min="16124" max="16124" width="11.44140625" style="72" hidden="1"/>
    <col min="16125" max="16125" width="14.44140625" style="72" hidden="1"/>
    <col min="16126" max="16126" width="11.44140625" style="72" hidden="1"/>
    <col min="16127" max="16127" width="11.5546875" style="72" hidden="1"/>
    <col min="16128" max="16130" width="12.44140625" style="72" hidden="1"/>
    <col min="16131" max="16131" width="12" style="72" hidden="1"/>
    <col min="16132" max="16136" width="12.44140625" style="72" hidden="1"/>
    <col min="16137" max="16141" width="12" style="72" hidden="1"/>
    <col min="16142" max="16142" width="11.5546875" style="72" hidden="1"/>
    <col min="16143" max="16146" width="12" style="72" hidden="1"/>
    <col min="16147" max="16158" width="11.5546875" style="72" hidden="1"/>
    <col min="16159" max="16384" width="9.44140625" style="72" hidden="1"/>
  </cols>
  <sheetData>
    <row r="1" spans="1:42" ht="21" x14ac:dyDescent="0.4">
      <c r="A1" s="959" t="s">
        <v>8</v>
      </c>
      <c r="B1" s="959"/>
      <c r="C1" s="959"/>
      <c r="D1" s="959"/>
      <c r="E1" s="959"/>
      <c r="F1" s="959"/>
      <c r="G1" s="959"/>
      <c r="H1" s="959"/>
      <c r="I1" s="959"/>
      <c r="J1" s="959"/>
      <c r="K1" s="959"/>
      <c r="L1" s="959"/>
      <c r="M1" s="959"/>
      <c r="N1" s="959"/>
      <c r="O1" s="959"/>
      <c r="P1" s="959"/>
      <c r="Q1" s="959"/>
      <c r="R1" s="959"/>
      <c r="S1" s="959"/>
      <c r="T1" s="959"/>
      <c r="U1" s="959"/>
      <c r="V1" s="959"/>
      <c r="W1" s="959"/>
      <c r="X1" s="959"/>
      <c r="Y1" s="959"/>
      <c r="Z1" s="959"/>
      <c r="AA1" s="959"/>
      <c r="AB1" s="959"/>
      <c r="AC1" s="959"/>
      <c r="AD1" s="959"/>
      <c r="AE1" s="959"/>
      <c r="AF1" s="959"/>
      <c r="AG1" s="959"/>
      <c r="AH1" s="959"/>
      <c r="AI1" s="959"/>
      <c r="AJ1" s="959"/>
      <c r="AK1" s="959"/>
      <c r="AL1" s="959"/>
      <c r="AM1" s="959"/>
      <c r="AN1" s="959"/>
      <c r="AO1" s="959"/>
      <c r="AP1" s="959"/>
    </row>
    <row r="2" spans="1:42" ht="15.6" x14ac:dyDescent="0.3">
      <c r="A2" s="70" t="str">
        <f>'Fin Inputs'!$A$2</f>
        <v>Storage Financial Analysis Model</v>
      </c>
      <c r="B2" s="71"/>
      <c r="D2" s="73"/>
      <c r="E2" s="73"/>
      <c r="H2" s="36">
        <v>1</v>
      </c>
      <c r="I2" s="36">
        <f t="shared" ref="I2:AA2" si="0">H2+1</f>
        <v>2</v>
      </c>
      <c r="J2" s="36">
        <f t="shared" si="0"/>
        <v>3</v>
      </c>
      <c r="K2" s="36">
        <f t="shared" si="0"/>
        <v>4</v>
      </c>
      <c r="L2" s="36">
        <f t="shared" si="0"/>
        <v>5</v>
      </c>
      <c r="M2" s="36">
        <f t="shared" si="0"/>
        <v>6</v>
      </c>
      <c r="N2" s="36">
        <f t="shared" si="0"/>
        <v>7</v>
      </c>
      <c r="O2" s="36">
        <f t="shared" si="0"/>
        <v>8</v>
      </c>
      <c r="P2" s="36">
        <f t="shared" si="0"/>
        <v>9</v>
      </c>
      <c r="Q2" s="36">
        <f t="shared" si="0"/>
        <v>10</v>
      </c>
      <c r="R2" s="36">
        <f t="shared" si="0"/>
        <v>11</v>
      </c>
      <c r="S2" s="36">
        <f t="shared" si="0"/>
        <v>12</v>
      </c>
      <c r="T2" s="36">
        <f t="shared" si="0"/>
        <v>13</v>
      </c>
      <c r="U2" s="36">
        <f t="shared" si="0"/>
        <v>14</v>
      </c>
      <c r="V2" s="36">
        <f t="shared" si="0"/>
        <v>15</v>
      </c>
      <c r="W2" s="36">
        <f t="shared" si="0"/>
        <v>16</v>
      </c>
      <c r="X2" s="36">
        <f t="shared" si="0"/>
        <v>17</v>
      </c>
      <c r="Y2" s="36">
        <f t="shared" si="0"/>
        <v>18</v>
      </c>
      <c r="Z2" s="36">
        <f t="shared" si="0"/>
        <v>19</v>
      </c>
      <c r="AA2" s="36">
        <f t="shared" si="0"/>
        <v>20</v>
      </c>
      <c r="AB2" s="36">
        <f>AA2+1</f>
        <v>21</v>
      </c>
      <c r="AC2" s="36">
        <f>AB2+1</f>
        <v>22</v>
      </c>
      <c r="AD2" s="36">
        <f>AC2+1</f>
        <v>23</v>
      </c>
      <c r="AE2" s="36">
        <f>AD2+1</f>
        <v>24</v>
      </c>
      <c r="AF2" s="36">
        <f>AE2+1</f>
        <v>25</v>
      </c>
      <c r="AG2" s="36">
        <f t="shared" ref="AG2:AP2" si="1">AF2+1</f>
        <v>26</v>
      </c>
      <c r="AH2" s="36">
        <f t="shared" si="1"/>
        <v>27</v>
      </c>
      <c r="AI2" s="36">
        <f t="shared" si="1"/>
        <v>28</v>
      </c>
      <c r="AJ2" s="36">
        <f t="shared" si="1"/>
        <v>29</v>
      </c>
      <c r="AK2" s="36">
        <f t="shared" si="1"/>
        <v>30</v>
      </c>
      <c r="AL2" s="36">
        <f t="shared" si="1"/>
        <v>31</v>
      </c>
      <c r="AM2" s="36">
        <f t="shared" si="1"/>
        <v>32</v>
      </c>
      <c r="AN2" s="36">
        <f t="shared" si="1"/>
        <v>33</v>
      </c>
      <c r="AO2" s="36">
        <f t="shared" si="1"/>
        <v>34</v>
      </c>
      <c r="AP2" s="36">
        <f t="shared" si="1"/>
        <v>35</v>
      </c>
    </row>
    <row r="3" spans="1:42" x14ac:dyDescent="0.3">
      <c r="A3" s="74"/>
      <c r="C3" s="74"/>
      <c r="D3" s="73"/>
      <c r="E3" s="73"/>
      <c r="G3" s="75">
        <f>YEAR(G5)</f>
        <v>2027</v>
      </c>
      <c r="H3" s="76">
        <f>'Fin Statement'!G5</f>
        <v>2028</v>
      </c>
      <c r="I3" s="76">
        <f>'Fin Statement'!H5</f>
        <v>2029</v>
      </c>
      <c r="J3" s="76">
        <f>'Fin Statement'!I5</f>
        <v>2030</v>
      </c>
      <c r="K3" s="76">
        <f>'Fin Statement'!J5</f>
        <v>2031</v>
      </c>
      <c r="L3" s="76">
        <f>'Fin Statement'!K5</f>
        <v>2032</v>
      </c>
      <c r="M3" s="76">
        <f>'Fin Statement'!L5</f>
        <v>2033</v>
      </c>
      <c r="N3" s="76">
        <f>'Fin Statement'!M5</f>
        <v>2034</v>
      </c>
      <c r="O3" s="76">
        <f>'Fin Statement'!N5</f>
        <v>2035</v>
      </c>
      <c r="P3" s="76">
        <f>'Fin Statement'!O5</f>
        <v>2036</v>
      </c>
      <c r="Q3" s="76">
        <f>'Fin Statement'!P5</f>
        <v>2037</v>
      </c>
      <c r="R3" s="76">
        <f>'Fin Statement'!Q5</f>
        <v>2038</v>
      </c>
      <c r="S3" s="76">
        <f>'Fin Statement'!R5</f>
        <v>2039</v>
      </c>
      <c r="T3" s="76">
        <f>'Fin Statement'!S5</f>
        <v>2040</v>
      </c>
      <c r="U3" s="76">
        <f>'Fin Statement'!T5</f>
        <v>2041</v>
      </c>
      <c r="V3" s="76">
        <f>'Fin Statement'!U5</f>
        <v>2042</v>
      </c>
      <c r="W3" s="76">
        <f>'Fin Statement'!V5</f>
        <v>2043</v>
      </c>
      <c r="X3" s="76">
        <f>'Fin Statement'!W5</f>
        <v>2044</v>
      </c>
      <c r="Y3" s="76">
        <f>'Fin Statement'!X5</f>
        <v>2045</v>
      </c>
      <c r="Z3" s="76">
        <f>'Fin Statement'!Y5</f>
        <v>2046</v>
      </c>
      <c r="AA3" s="76">
        <f>'Fin Statement'!Z5</f>
        <v>2047</v>
      </c>
      <c r="AB3" s="76">
        <f>'Fin Statement'!AA5</f>
        <v>2048</v>
      </c>
      <c r="AC3" s="76">
        <f>'Fin Statement'!AB5</f>
        <v>2049</v>
      </c>
      <c r="AD3" s="76">
        <f>'Fin Statement'!AC5</f>
        <v>2050</v>
      </c>
      <c r="AE3" s="76">
        <f>'Fin Statement'!AD5</f>
        <v>2051</v>
      </c>
      <c r="AF3" s="76">
        <f>'Fin Statement'!AE5</f>
        <v>2052</v>
      </c>
    </row>
    <row r="4" spans="1:42" x14ac:dyDescent="0.3">
      <c r="A4" s="77" t="str">
        <f>'Fin Inputs'!$A$4</f>
        <v>all monetary amounts are in nominal USD</v>
      </c>
      <c r="D4" s="73"/>
      <c r="E4" s="73"/>
      <c r="H4" s="78">
        <f>(H2&lt;='Fin Inputs'!$F$13)*1</f>
        <v>1</v>
      </c>
      <c r="I4" s="78">
        <f>(I2&lt;='Fin Inputs'!$F$13)*1</f>
        <v>1</v>
      </c>
      <c r="J4" s="78">
        <f>(J2&lt;='Fin Inputs'!$F$13)*1</f>
        <v>1</v>
      </c>
      <c r="K4" s="78">
        <f>(K2&lt;='Fin Inputs'!$F$13)*1</f>
        <v>1</v>
      </c>
      <c r="L4" s="78">
        <f>(L2&lt;='Fin Inputs'!$F$13)*1</f>
        <v>1</v>
      </c>
      <c r="M4" s="78">
        <f>(M2&lt;='Fin Inputs'!$F$13)*1</f>
        <v>1</v>
      </c>
      <c r="N4" s="78">
        <f>(N2&lt;='Fin Inputs'!$F$13)*1</f>
        <v>1</v>
      </c>
      <c r="O4" s="78">
        <f>(O2&lt;='Fin Inputs'!$F$13)*1</f>
        <v>1</v>
      </c>
      <c r="P4" s="78">
        <f>(P2&lt;='Fin Inputs'!$F$13)*1</f>
        <v>1</v>
      </c>
      <c r="Q4" s="78">
        <f>(Q2&lt;='Fin Inputs'!$F$13)*1</f>
        <v>1</v>
      </c>
      <c r="R4" s="78">
        <f>(R2&lt;='Fin Inputs'!$F$13)*1</f>
        <v>1</v>
      </c>
      <c r="S4" s="78">
        <f>(S2&lt;='Fin Inputs'!$F$13)*1</f>
        <v>1</v>
      </c>
      <c r="T4" s="78">
        <f>(T2&lt;='Fin Inputs'!$F$13)*1</f>
        <v>1</v>
      </c>
      <c r="U4" s="78">
        <f>(U2&lt;='Fin Inputs'!$F$13)*1</f>
        <v>1</v>
      </c>
      <c r="V4" s="78">
        <f>(V2&lt;='Fin Inputs'!$F$13)*1</f>
        <v>1</v>
      </c>
      <c r="W4" s="78">
        <f>(W2&lt;='Fin Inputs'!$F$13)*1</f>
        <v>1</v>
      </c>
      <c r="X4" s="78">
        <f>(X2&lt;='Fin Inputs'!$F$13)*1</f>
        <v>1</v>
      </c>
      <c r="Y4" s="78">
        <f>(Y2&lt;='Fin Inputs'!$F$13)*1</f>
        <v>1</v>
      </c>
      <c r="Z4" s="78">
        <f>(Z2&lt;='Fin Inputs'!$F$13)*1</f>
        <v>1</v>
      </c>
      <c r="AA4" s="78">
        <f>(AA2&lt;='Fin Inputs'!$F$13)*1</f>
        <v>1</v>
      </c>
      <c r="AB4" s="78">
        <f>(AB2&lt;='Fin Inputs'!$F$13)*1</f>
        <v>0</v>
      </c>
      <c r="AC4" s="78">
        <f>(AC2&lt;='Fin Inputs'!$F$13)*1</f>
        <v>0</v>
      </c>
      <c r="AD4" s="78">
        <f>(AD2&lt;='Fin Inputs'!$F$13)*1</f>
        <v>0</v>
      </c>
      <c r="AE4" s="78">
        <f>(AE2&lt;='Fin Inputs'!$F$13)*1</f>
        <v>0</v>
      </c>
      <c r="AF4" s="78">
        <f>(AF2&lt;='Fin Inputs'!$F$13)*1</f>
        <v>0</v>
      </c>
    </row>
    <row r="5" spans="1:42" x14ac:dyDescent="0.3">
      <c r="A5" s="77"/>
      <c r="D5" s="73"/>
      <c r="E5" s="73"/>
      <c r="G5" s="79">
        <f>Draws!F61</f>
        <v>46388</v>
      </c>
      <c r="H5" s="80">
        <f>DATE(H3,MONTH('Fin Inputs'!$F$12)+6,1)</f>
        <v>46935</v>
      </c>
      <c r="I5" s="80">
        <f>DATE(I3,MONTH('Fin Inputs'!$F$12)+6,1)</f>
        <v>47300</v>
      </c>
      <c r="J5" s="80">
        <f>DATE(J3,MONTH('Fin Inputs'!$F$12)+6,1)</f>
        <v>47665</v>
      </c>
      <c r="K5" s="80">
        <f>DATE(K3,MONTH('Fin Inputs'!$F$12)+6,1)</f>
        <v>48030</v>
      </c>
      <c r="L5" s="80">
        <f>DATE(L3,MONTH('Fin Inputs'!$F$12)+6,1)</f>
        <v>48396</v>
      </c>
      <c r="M5" s="80">
        <f>DATE(M3,MONTH('Fin Inputs'!$F$12)+6,1)</f>
        <v>48761</v>
      </c>
      <c r="N5" s="80">
        <f>DATE(N3,MONTH('Fin Inputs'!$F$12)+6,1)</f>
        <v>49126</v>
      </c>
      <c r="O5" s="80">
        <f>DATE(O3,MONTH('Fin Inputs'!$F$12)+6,1)</f>
        <v>49491</v>
      </c>
      <c r="P5" s="80">
        <f>DATE(P3,MONTH('Fin Inputs'!$F$12)+6,1)</f>
        <v>49857</v>
      </c>
      <c r="Q5" s="80">
        <f>DATE(Q3,MONTH('Fin Inputs'!$F$12)+6,1)</f>
        <v>50222</v>
      </c>
      <c r="R5" s="80">
        <f>DATE(R3,MONTH('Fin Inputs'!$F$12)+6,1)</f>
        <v>50587</v>
      </c>
      <c r="S5" s="80">
        <f>DATE(S3,MONTH('Fin Inputs'!$F$12)+6,1)</f>
        <v>50952</v>
      </c>
      <c r="T5" s="80">
        <f>DATE(T3,MONTH('Fin Inputs'!$F$12)+6,1)</f>
        <v>51318</v>
      </c>
      <c r="U5" s="80">
        <f>DATE(U3,MONTH('Fin Inputs'!$F$12)+6,1)</f>
        <v>51683</v>
      </c>
      <c r="V5" s="80">
        <f>DATE(V3,MONTH('Fin Inputs'!$F$12)+6,1)</f>
        <v>52048</v>
      </c>
      <c r="W5" s="80">
        <f>DATE(W3,MONTH('Fin Inputs'!$F$12)+6,1)</f>
        <v>52413</v>
      </c>
      <c r="X5" s="80">
        <f>DATE(X3,MONTH('Fin Inputs'!$F$12)+6,1)</f>
        <v>52779</v>
      </c>
      <c r="Y5" s="80">
        <f>DATE(Y3,MONTH('Fin Inputs'!$F$12)+6,1)</f>
        <v>53144</v>
      </c>
      <c r="Z5" s="80">
        <f>DATE(Z3,MONTH('Fin Inputs'!$F$12)+6,1)</f>
        <v>53509</v>
      </c>
      <c r="AA5" s="80">
        <f>DATE(AA3,MONTH('Fin Inputs'!$F$12)+6,1)</f>
        <v>53874</v>
      </c>
      <c r="AB5" s="80">
        <f>DATE(AB3,MONTH('Fin Inputs'!$F$12)+6,1)</f>
        <v>54240</v>
      </c>
      <c r="AC5" s="80">
        <f>DATE(AC3,MONTH('Fin Inputs'!$F$12)+6,1)</f>
        <v>54605</v>
      </c>
      <c r="AD5" s="80">
        <f>DATE(AD3,MONTH('Fin Inputs'!$F$12)+6,1)</f>
        <v>54970</v>
      </c>
      <c r="AE5" s="80">
        <f>DATE(AE3,MONTH('Fin Inputs'!$F$12)+6,1)</f>
        <v>55335</v>
      </c>
      <c r="AF5" s="80">
        <f>DATE(AF3,MONTH('Fin Inputs'!$F$12)+6,1)</f>
        <v>55701</v>
      </c>
    </row>
    <row r="6" spans="1:42" ht="15" thickBot="1" x14ac:dyDescent="0.35">
      <c r="B6" s="81" t="s">
        <v>260</v>
      </c>
      <c r="C6" s="82"/>
      <c r="D6" s="83"/>
      <c r="E6" s="83"/>
      <c r="F6" s="83"/>
      <c r="G6" s="83"/>
      <c r="H6" s="83"/>
      <c r="I6" s="83"/>
      <c r="J6" s="83"/>
      <c r="K6" s="83"/>
      <c r="L6" s="83"/>
      <c r="M6" s="83"/>
      <c r="N6" s="83"/>
      <c r="O6" s="83"/>
      <c r="P6" s="83"/>
      <c r="Q6" s="83"/>
      <c r="R6" s="83"/>
      <c r="S6" s="83"/>
      <c r="T6" s="83"/>
      <c r="U6" s="84"/>
      <c r="V6" s="84"/>
      <c r="W6" s="84"/>
      <c r="X6" s="84"/>
      <c r="Y6" s="84"/>
      <c r="Z6" s="84"/>
      <c r="AA6" s="84"/>
      <c r="AB6" s="84"/>
      <c r="AC6" s="84"/>
      <c r="AD6" s="84"/>
      <c r="AE6" s="84"/>
      <c r="AF6" s="84"/>
    </row>
    <row r="7" spans="1:42" x14ac:dyDescent="0.3">
      <c r="B7" s="85"/>
      <c r="C7" s="86"/>
      <c r="D7" s="37"/>
      <c r="E7" s="37"/>
      <c r="F7" s="37"/>
      <c r="G7" s="37"/>
      <c r="H7" s="37"/>
      <c r="I7" s="37"/>
      <c r="J7" s="37"/>
      <c r="K7" s="37"/>
      <c r="L7" s="37"/>
      <c r="M7" s="37"/>
      <c r="N7" s="37"/>
      <c r="O7" s="37"/>
      <c r="P7" s="37"/>
      <c r="Q7" s="37"/>
      <c r="R7" s="37"/>
      <c r="S7" s="37"/>
      <c r="T7" s="37"/>
      <c r="U7" s="87"/>
      <c r="V7" s="87"/>
      <c r="W7" s="87"/>
      <c r="X7" s="87"/>
      <c r="Y7" s="87"/>
      <c r="Z7" s="87"/>
      <c r="AA7" s="87"/>
      <c r="AB7" s="87"/>
      <c r="AC7" s="87"/>
      <c r="AD7" s="87"/>
      <c r="AE7" s="87"/>
      <c r="AF7" s="87"/>
    </row>
    <row r="8" spans="1:42" x14ac:dyDescent="0.3">
      <c r="B8" s="85"/>
      <c r="C8" s="88" t="s">
        <v>261</v>
      </c>
      <c r="D8" s="37"/>
      <c r="E8" s="37"/>
      <c r="F8" s="37"/>
      <c r="G8" s="37"/>
      <c r="H8" s="37"/>
      <c r="I8" s="37"/>
      <c r="J8" s="37"/>
      <c r="K8" s="37"/>
      <c r="L8" s="37"/>
      <c r="M8" s="37"/>
      <c r="N8" s="37"/>
      <c r="O8" s="37"/>
      <c r="P8" s="37"/>
      <c r="Q8" s="37"/>
      <c r="R8" s="37"/>
      <c r="S8" s="37"/>
      <c r="T8" s="37"/>
      <c r="U8" s="87"/>
      <c r="V8" s="87"/>
      <c r="W8" s="87"/>
      <c r="X8" s="87"/>
      <c r="Y8" s="87"/>
      <c r="Z8" s="87"/>
      <c r="AA8" s="87"/>
      <c r="AB8" s="87"/>
      <c r="AC8" s="87"/>
      <c r="AD8" s="87"/>
      <c r="AE8" s="87"/>
      <c r="AF8" s="87"/>
    </row>
    <row r="9" spans="1:42" x14ac:dyDescent="0.3">
      <c r="B9" s="85"/>
      <c r="C9" s="86"/>
      <c r="D9" s="37" t="s">
        <v>262</v>
      </c>
      <c r="E9" s="37"/>
      <c r="F9" s="37"/>
      <c r="G9" s="89">
        <v>0</v>
      </c>
      <c r="H9" s="89">
        <f>'Fin Statement'!G36*H$4</f>
        <v>2135.697705249198</v>
      </c>
      <c r="I9" s="89">
        <f>'Fin Statement'!H36*I$4</f>
        <v>751.92658763049462</v>
      </c>
      <c r="J9" s="89">
        <f>'Fin Statement'!I36*J$4</f>
        <v>473.38003767035883</v>
      </c>
      <c r="K9" s="89">
        <f>'Fin Statement'!J36*K$4</f>
        <v>494.46391174943574</v>
      </c>
      <c r="L9" s="89">
        <f>'Fin Statement'!K36*L$4</f>
        <v>536.95544719679333</v>
      </c>
      <c r="M9" s="89">
        <f>'Fin Statement'!L36*M$4</f>
        <v>556.86463940649276</v>
      </c>
      <c r="N9" s="89">
        <f>'Fin Statement'!M36*N$4</f>
        <v>574.53516142583919</v>
      </c>
      <c r="O9" s="89">
        <f>'Fin Statement'!N36*O$4</f>
        <v>592.04252079115804</v>
      </c>
      <c r="P9" s="89">
        <f>'Fin Statement'!O36*P$4</f>
        <v>609.38345424936915</v>
      </c>
      <c r="Q9" s="89">
        <f>'Fin Statement'!P36*Q$4</f>
        <v>626.55463328232997</v>
      </c>
      <c r="R9" s="89">
        <f>'Fin Statement'!Q36*R$4</f>
        <v>673.25993833952157</v>
      </c>
      <c r="S9" s="89">
        <f>'Fin Statement'!R36*S$4</f>
        <v>722.44898392593552</v>
      </c>
      <c r="T9" s="89">
        <f>'Fin Statement'!S36*T$4</f>
        <v>771.45788475823861</v>
      </c>
      <c r="U9" s="89">
        <f>'Fin Statement'!T36*U$4</f>
        <v>820.28303794134865</v>
      </c>
      <c r="V9" s="89">
        <f>'Fin Statement'!U36*V$4</f>
        <v>868.92076852228183</v>
      </c>
      <c r="W9" s="89">
        <f>'Fin Statement'!V36*W$4</f>
        <v>910.37691528526875</v>
      </c>
      <c r="X9" s="89">
        <f>'Fin Statement'!W36*X$4</f>
        <v>784.93172765993745</v>
      </c>
      <c r="Y9" s="89">
        <f>'Fin Statement'!X36*Y$4</f>
        <v>700.47794208577875</v>
      </c>
      <c r="Z9" s="89">
        <f>'Fin Statement'!Y36*Z$4</f>
        <v>728.94794255945885</v>
      </c>
      <c r="AA9" s="89">
        <f>'Fin Statement'!Z36*AA$4</f>
        <v>757.27163797528976</v>
      </c>
      <c r="AB9" s="89">
        <f>'Fin Statement'!AA36*AB$4</f>
        <v>0</v>
      </c>
      <c r="AC9" s="89">
        <f>'Fin Statement'!AB36*AC$4</f>
        <v>0</v>
      </c>
      <c r="AD9" s="89">
        <f>'Fin Statement'!AC36*AD$4</f>
        <v>0</v>
      </c>
      <c r="AE9" s="89">
        <f>'Fin Statement'!AD36*AE$4</f>
        <v>0</v>
      </c>
      <c r="AF9" s="89">
        <f>'Fin Statement'!AE36*AF$4</f>
        <v>0</v>
      </c>
    </row>
    <row r="10" spans="1:42" x14ac:dyDescent="0.3">
      <c r="B10" s="85"/>
      <c r="C10" s="86"/>
      <c r="D10" s="37" t="s">
        <v>49</v>
      </c>
      <c r="E10" s="37"/>
      <c r="F10" s="37"/>
      <c r="G10" s="255">
        <f>-Draws!F63</f>
        <v>-14041.000000000002</v>
      </c>
      <c r="H10" s="89">
        <f>'Fin Statement'!G40*H$4</f>
        <v>0</v>
      </c>
      <c r="I10" s="89">
        <f>'Fin Statement'!H40*I$4</f>
        <v>0</v>
      </c>
      <c r="J10" s="89">
        <f>'Fin Statement'!I40*J$4</f>
        <v>0</v>
      </c>
      <c r="K10" s="89">
        <f>'Fin Statement'!J40*K$4</f>
        <v>0</v>
      </c>
      <c r="L10" s="89">
        <f>'Fin Statement'!K40*L$4</f>
        <v>0</v>
      </c>
      <c r="M10" s="89">
        <f>'Fin Statement'!L40*M$4</f>
        <v>0</v>
      </c>
      <c r="N10" s="89">
        <f>'Fin Statement'!M40*N$4</f>
        <v>0</v>
      </c>
      <c r="O10" s="89">
        <f>'Fin Statement'!N40*O$4</f>
        <v>0</v>
      </c>
      <c r="P10" s="89">
        <f>'Fin Statement'!O40*P$4</f>
        <v>0</v>
      </c>
      <c r="Q10" s="89">
        <f>'Fin Statement'!P40*Q$4</f>
        <v>0</v>
      </c>
      <c r="R10" s="89">
        <f>'Fin Statement'!Q40*R$4</f>
        <v>0</v>
      </c>
      <c r="S10" s="89">
        <f>'Fin Statement'!R40*S$4</f>
        <v>0</v>
      </c>
      <c r="T10" s="89">
        <f>'Fin Statement'!S40*T$4</f>
        <v>0</v>
      </c>
      <c r="U10" s="89">
        <f>'Fin Statement'!T40*U$4</f>
        <v>0</v>
      </c>
      <c r="V10" s="89">
        <f>'Fin Statement'!U40*V$4</f>
        <v>0</v>
      </c>
      <c r="W10" s="89">
        <f>'Fin Statement'!V40*W$4</f>
        <v>0</v>
      </c>
      <c r="X10" s="89">
        <f>'Fin Statement'!W40*X$4</f>
        <v>0</v>
      </c>
      <c r="Y10" s="89">
        <f>'Fin Statement'!X40*Y$4</f>
        <v>0</v>
      </c>
      <c r="Z10" s="89">
        <f>'Fin Statement'!Y40*Z$4</f>
        <v>0</v>
      </c>
      <c r="AA10" s="89">
        <f>'Fin Statement'!Z40*AA$4</f>
        <v>0</v>
      </c>
      <c r="AB10" s="89">
        <f>'Fin Statement'!AA40*AB$4</f>
        <v>0</v>
      </c>
      <c r="AC10" s="89">
        <f>'Fin Statement'!AB40*AC$4</f>
        <v>0</v>
      </c>
      <c r="AD10" s="89">
        <f>'Fin Statement'!AC40*AD$4</f>
        <v>0</v>
      </c>
      <c r="AE10" s="89">
        <f>'Fin Statement'!AD40*AE$4</f>
        <v>0</v>
      </c>
      <c r="AF10" s="89">
        <f>'Fin Statement'!AE40*AF$4</f>
        <v>0</v>
      </c>
    </row>
    <row r="11" spans="1:42" x14ac:dyDescent="0.3">
      <c r="B11" s="85"/>
      <c r="C11" s="86"/>
      <c r="D11" s="37" t="s">
        <v>159</v>
      </c>
      <c r="E11" s="37"/>
      <c r="F11" s="37"/>
      <c r="G11" s="90">
        <v>0</v>
      </c>
      <c r="H11" s="89">
        <f>$F$48*(H2='Fin Inputs'!$F$13)</f>
        <v>0</v>
      </c>
      <c r="I11" s="89">
        <f>$F$48*(I2='Fin Inputs'!$F$13)</f>
        <v>0</v>
      </c>
      <c r="J11" s="89">
        <f>$F$48*(J2='Fin Inputs'!$F$13)</f>
        <v>0</v>
      </c>
      <c r="K11" s="89">
        <f>$F$48*(K2='Fin Inputs'!$F$13)</f>
        <v>0</v>
      </c>
      <c r="L11" s="89">
        <f>$F$48*(L2='Fin Inputs'!$F$13)</f>
        <v>0</v>
      </c>
      <c r="M11" s="89">
        <f>$F$48*(M2='Fin Inputs'!$F$13)</f>
        <v>0</v>
      </c>
      <c r="N11" s="89">
        <f>$F$48*(N2='Fin Inputs'!$F$13)</f>
        <v>0</v>
      </c>
      <c r="O11" s="89">
        <f>$F$48*(O2='Fin Inputs'!$F$13)</f>
        <v>0</v>
      </c>
      <c r="P11" s="89">
        <f>$F$48*(P2='Fin Inputs'!$F$13)</f>
        <v>0</v>
      </c>
      <c r="Q11" s="89">
        <f>$F$48*(Q2='Fin Inputs'!$F$13)</f>
        <v>0</v>
      </c>
      <c r="R11" s="89">
        <f>$F$48*(R2='Fin Inputs'!$F$13)</f>
        <v>0</v>
      </c>
      <c r="S11" s="89">
        <f>$F$48*(S2='Fin Inputs'!$F$13)</f>
        <v>0</v>
      </c>
      <c r="T11" s="89">
        <f>$F$48*(T2='Fin Inputs'!$F$13)</f>
        <v>0</v>
      </c>
      <c r="U11" s="89">
        <f>$F$48*(U2='Fin Inputs'!$F$13)</f>
        <v>0</v>
      </c>
      <c r="V11" s="89">
        <f>$F$48*(V2='Fin Inputs'!$F$13)</f>
        <v>0</v>
      </c>
      <c r="W11" s="89">
        <f>$F$48*(W2='Fin Inputs'!$F$13)</f>
        <v>0</v>
      </c>
      <c r="X11" s="89">
        <f>$F$48*(X2='Fin Inputs'!$F$13)</f>
        <v>0</v>
      </c>
      <c r="Y11" s="89">
        <f>$F$48*(Y2='Fin Inputs'!$F$13)</f>
        <v>0</v>
      </c>
      <c r="Z11" s="89">
        <f>$F$48*(Z2='Fin Inputs'!$F$13)</f>
        <v>0</v>
      </c>
      <c r="AA11" s="89">
        <f>$F$48*(AA2='Fin Inputs'!$F$13)</f>
        <v>0</v>
      </c>
      <c r="AB11" s="89">
        <f>$F$48*(AB2='Fin Inputs'!$F$13)</f>
        <v>0</v>
      </c>
      <c r="AC11" s="89">
        <f>$F$48*(AC2='Fin Inputs'!$F$13)</f>
        <v>0</v>
      </c>
      <c r="AD11" s="89">
        <f>$F$48*(AD2='Fin Inputs'!$F$13)</f>
        <v>0</v>
      </c>
      <c r="AE11" s="89">
        <f>$F$48*(AE2='Fin Inputs'!$F$13)</f>
        <v>0</v>
      </c>
      <c r="AF11" s="89">
        <f>$F$48*(AF2='Fin Inputs'!$F$13)</f>
        <v>0</v>
      </c>
    </row>
    <row r="12" spans="1:42" x14ac:dyDescent="0.3">
      <c r="B12" s="85"/>
      <c r="C12" s="86"/>
      <c r="D12" s="210" t="s">
        <v>160</v>
      </c>
      <c r="E12" s="37"/>
      <c r="F12" s="37"/>
      <c r="G12" s="89">
        <f>G24</f>
        <v>0</v>
      </c>
      <c r="H12" s="89">
        <f>H24</f>
        <v>4212.3</v>
      </c>
      <c r="I12" s="89">
        <f t="shared" ref="I12:AF12" si="2">I24</f>
        <v>0</v>
      </c>
      <c r="J12" s="89">
        <f t="shared" si="2"/>
        <v>0</v>
      </c>
      <c r="K12" s="89">
        <f t="shared" si="2"/>
        <v>0</v>
      </c>
      <c r="L12" s="89">
        <f t="shared" si="2"/>
        <v>0</v>
      </c>
      <c r="M12" s="89">
        <f t="shared" si="2"/>
        <v>0</v>
      </c>
      <c r="N12" s="89">
        <f t="shared" si="2"/>
        <v>0</v>
      </c>
      <c r="O12" s="89">
        <f t="shared" si="2"/>
        <v>0</v>
      </c>
      <c r="P12" s="89">
        <f t="shared" si="2"/>
        <v>0</v>
      </c>
      <c r="Q12" s="89">
        <f t="shared" si="2"/>
        <v>0</v>
      </c>
      <c r="R12" s="89">
        <f t="shared" si="2"/>
        <v>0</v>
      </c>
      <c r="S12" s="89">
        <f t="shared" si="2"/>
        <v>0</v>
      </c>
      <c r="T12" s="89">
        <f t="shared" si="2"/>
        <v>0</v>
      </c>
      <c r="U12" s="89">
        <f t="shared" si="2"/>
        <v>0</v>
      </c>
      <c r="V12" s="89">
        <f t="shared" si="2"/>
        <v>0</v>
      </c>
      <c r="W12" s="89">
        <f t="shared" si="2"/>
        <v>0</v>
      </c>
      <c r="X12" s="89">
        <f t="shared" si="2"/>
        <v>0</v>
      </c>
      <c r="Y12" s="89">
        <f t="shared" si="2"/>
        <v>0</v>
      </c>
      <c r="Z12" s="89">
        <f t="shared" si="2"/>
        <v>0</v>
      </c>
      <c r="AA12" s="89">
        <f t="shared" si="2"/>
        <v>0</v>
      </c>
      <c r="AB12" s="89">
        <f t="shared" si="2"/>
        <v>0</v>
      </c>
      <c r="AC12" s="89">
        <f t="shared" si="2"/>
        <v>0</v>
      </c>
      <c r="AD12" s="89">
        <f t="shared" si="2"/>
        <v>0</v>
      </c>
      <c r="AE12" s="89">
        <f t="shared" si="2"/>
        <v>0</v>
      </c>
      <c r="AF12" s="89">
        <f t="shared" si="2"/>
        <v>0</v>
      </c>
    </row>
    <row r="13" spans="1:42" x14ac:dyDescent="0.3">
      <c r="B13" s="85"/>
      <c r="C13" s="86"/>
      <c r="D13" s="252" t="s">
        <v>89</v>
      </c>
      <c r="E13" s="251">
        <f>'Fin Inputs'!$AC$34</f>
        <v>0.125</v>
      </c>
      <c r="F13" s="37"/>
      <c r="G13" s="37"/>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row>
    <row r="14" spans="1:42" x14ac:dyDescent="0.3">
      <c r="B14" s="85"/>
      <c r="C14" s="86"/>
      <c r="D14" s="252" t="s">
        <v>14</v>
      </c>
      <c r="E14" s="251">
        <f>'Gap Calculator'!$E$62</f>
        <v>0.125</v>
      </c>
      <c r="F14" s="37"/>
      <c r="G14" s="37"/>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row>
    <row r="15" spans="1:42" x14ac:dyDescent="0.3">
      <c r="B15" s="85"/>
      <c r="C15" s="86"/>
      <c r="D15" s="37"/>
      <c r="E15" s="91" t="s">
        <v>10</v>
      </c>
      <c r="F15" s="91" t="s">
        <v>8</v>
      </c>
      <c r="G15" s="92"/>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row>
    <row r="16" spans="1:42" x14ac:dyDescent="0.3">
      <c r="B16" s="85"/>
      <c r="C16" s="86"/>
      <c r="D16" s="37" t="s">
        <v>263</v>
      </c>
      <c r="E16" s="93">
        <f>NPV($E$13,G16:AF16)</f>
        <v>-7232.8151846086184</v>
      </c>
      <c r="F16" s="94">
        <f>IRR(G16:AF16)</f>
        <v>7.1991040753207614E-3</v>
      </c>
      <c r="G16" s="89">
        <f>SUM(G9:G10)</f>
        <v>-14041.000000000002</v>
      </c>
      <c r="H16" s="89">
        <f>SUM(H9:H10)</f>
        <v>2135.697705249198</v>
      </c>
      <c r="I16" s="89">
        <f t="shared" ref="I16:AA16" si="3">SUM(I9:I10)</f>
        <v>751.92658763049462</v>
      </c>
      <c r="J16" s="89">
        <f t="shared" si="3"/>
        <v>473.38003767035883</v>
      </c>
      <c r="K16" s="89">
        <f t="shared" si="3"/>
        <v>494.46391174943574</v>
      </c>
      <c r="L16" s="89">
        <f t="shared" si="3"/>
        <v>536.95544719679333</v>
      </c>
      <c r="M16" s="89">
        <f t="shared" si="3"/>
        <v>556.86463940649276</v>
      </c>
      <c r="N16" s="89">
        <f t="shared" si="3"/>
        <v>574.53516142583919</v>
      </c>
      <c r="O16" s="89">
        <f t="shared" si="3"/>
        <v>592.04252079115804</v>
      </c>
      <c r="P16" s="89">
        <f t="shared" si="3"/>
        <v>609.38345424936915</v>
      </c>
      <c r="Q16" s="89">
        <f t="shared" si="3"/>
        <v>626.55463328232997</v>
      </c>
      <c r="R16" s="89">
        <f t="shared" si="3"/>
        <v>673.25993833952157</v>
      </c>
      <c r="S16" s="89">
        <f t="shared" si="3"/>
        <v>722.44898392593552</v>
      </c>
      <c r="T16" s="89">
        <f t="shared" si="3"/>
        <v>771.45788475823861</v>
      </c>
      <c r="U16" s="89">
        <f t="shared" si="3"/>
        <v>820.28303794134865</v>
      </c>
      <c r="V16" s="89">
        <f t="shared" si="3"/>
        <v>868.92076852228183</v>
      </c>
      <c r="W16" s="89">
        <f t="shared" si="3"/>
        <v>910.37691528526875</v>
      </c>
      <c r="X16" s="89">
        <f t="shared" si="3"/>
        <v>784.93172765993745</v>
      </c>
      <c r="Y16" s="89">
        <f t="shared" si="3"/>
        <v>700.47794208577875</v>
      </c>
      <c r="Z16" s="89">
        <f t="shared" si="3"/>
        <v>728.94794255945885</v>
      </c>
      <c r="AA16" s="89">
        <f t="shared" si="3"/>
        <v>757.27163797528976</v>
      </c>
      <c r="AB16" s="89">
        <f>SUM(AB9:AB10)</f>
        <v>0</v>
      </c>
      <c r="AC16" s="89">
        <f>SUM(AC9:AC10)</f>
        <v>0</v>
      </c>
      <c r="AD16" s="89">
        <f>SUM(AD9:AD10)</f>
        <v>0</v>
      </c>
      <c r="AE16" s="89">
        <f>SUM(AE9:AE10)</f>
        <v>0</v>
      </c>
      <c r="AF16" s="89">
        <f>SUM(AF9:AF10)</f>
        <v>0</v>
      </c>
    </row>
    <row r="17" spans="2:32" x14ac:dyDescent="0.3">
      <c r="B17" s="85"/>
      <c r="C17" s="86"/>
      <c r="D17" s="37" t="s">
        <v>264</v>
      </c>
      <c r="E17" s="93">
        <f>NPV($E$13,G17:AF17)</f>
        <v>-7232.8151846086184</v>
      </c>
      <c r="F17" s="94">
        <f>IRR(G17:AF17)</f>
        <v>7.1991040753207614E-3</v>
      </c>
      <c r="G17" s="89">
        <f>SUM(G9:G11)</f>
        <v>-14041.000000000002</v>
      </c>
      <c r="H17" s="89">
        <f t="shared" ref="H17:AF17" si="4">SUM(H9:H11)</f>
        <v>2135.697705249198</v>
      </c>
      <c r="I17" s="89">
        <f t="shared" si="4"/>
        <v>751.92658763049462</v>
      </c>
      <c r="J17" s="89">
        <f t="shared" si="4"/>
        <v>473.38003767035883</v>
      </c>
      <c r="K17" s="89">
        <f t="shared" si="4"/>
        <v>494.46391174943574</v>
      </c>
      <c r="L17" s="89">
        <f t="shared" si="4"/>
        <v>536.95544719679333</v>
      </c>
      <c r="M17" s="89">
        <f t="shared" si="4"/>
        <v>556.86463940649276</v>
      </c>
      <c r="N17" s="89">
        <f t="shared" si="4"/>
        <v>574.53516142583919</v>
      </c>
      <c r="O17" s="89">
        <f t="shared" si="4"/>
        <v>592.04252079115804</v>
      </c>
      <c r="P17" s="89">
        <f t="shared" si="4"/>
        <v>609.38345424936915</v>
      </c>
      <c r="Q17" s="89">
        <f t="shared" si="4"/>
        <v>626.55463328232997</v>
      </c>
      <c r="R17" s="89">
        <f t="shared" si="4"/>
        <v>673.25993833952157</v>
      </c>
      <c r="S17" s="89">
        <f t="shared" si="4"/>
        <v>722.44898392593552</v>
      </c>
      <c r="T17" s="89">
        <f t="shared" si="4"/>
        <v>771.45788475823861</v>
      </c>
      <c r="U17" s="89">
        <f t="shared" si="4"/>
        <v>820.28303794134865</v>
      </c>
      <c r="V17" s="89">
        <f t="shared" si="4"/>
        <v>868.92076852228183</v>
      </c>
      <c r="W17" s="89">
        <f t="shared" si="4"/>
        <v>910.37691528526875</v>
      </c>
      <c r="X17" s="89">
        <f t="shared" si="4"/>
        <v>784.93172765993745</v>
      </c>
      <c r="Y17" s="89">
        <f t="shared" si="4"/>
        <v>700.47794208577875</v>
      </c>
      <c r="Z17" s="89">
        <f t="shared" si="4"/>
        <v>728.94794255945885</v>
      </c>
      <c r="AA17" s="89">
        <f t="shared" si="4"/>
        <v>757.27163797528976</v>
      </c>
      <c r="AB17" s="89">
        <f t="shared" si="4"/>
        <v>0</v>
      </c>
      <c r="AC17" s="89">
        <f t="shared" si="4"/>
        <v>0</v>
      </c>
      <c r="AD17" s="89">
        <f t="shared" si="4"/>
        <v>0</v>
      </c>
      <c r="AE17" s="89">
        <f t="shared" si="4"/>
        <v>0</v>
      </c>
      <c r="AF17" s="89">
        <f t="shared" si="4"/>
        <v>0</v>
      </c>
    </row>
    <row r="18" spans="2:32" x14ac:dyDescent="0.3">
      <c r="B18" s="85"/>
      <c r="C18" s="86"/>
      <c r="D18" s="72" t="s">
        <v>564</v>
      </c>
      <c r="E18" s="93">
        <f>NPV($E$13,G18:AF18)</f>
        <v>-3904.5781475715798</v>
      </c>
      <c r="F18" s="94">
        <f>IRR(G18:AF18)</f>
        <v>4.4986550669087855E-2</v>
      </c>
      <c r="G18" s="89">
        <f>SUM(G9:G10,G12)</f>
        <v>-14041.000000000002</v>
      </c>
      <c r="H18" s="89">
        <f>SUM(H9:H10,H12)</f>
        <v>6347.9977052491977</v>
      </c>
      <c r="I18" s="89">
        <f t="shared" ref="I18:AF18" si="5">SUM(I9:I10,I12)</f>
        <v>751.92658763049462</v>
      </c>
      <c r="J18" s="89">
        <f t="shared" si="5"/>
        <v>473.38003767035883</v>
      </c>
      <c r="K18" s="89">
        <f t="shared" si="5"/>
        <v>494.46391174943574</v>
      </c>
      <c r="L18" s="89">
        <f t="shared" si="5"/>
        <v>536.95544719679333</v>
      </c>
      <c r="M18" s="89">
        <f t="shared" si="5"/>
        <v>556.86463940649276</v>
      </c>
      <c r="N18" s="89">
        <f t="shared" si="5"/>
        <v>574.53516142583919</v>
      </c>
      <c r="O18" s="89">
        <f t="shared" si="5"/>
        <v>592.04252079115804</v>
      </c>
      <c r="P18" s="89">
        <f t="shared" si="5"/>
        <v>609.38345424936915</v>
      </c>
      <c r="Q18" s="89">
        <f t="shared" si="5"/>
        <v>626.55463328232997</v>
      </c>
      <c r="R18" s="89">
        <f t="shared" si="5"/>
        <v>673.25993833952157</v>
      </c>
      <c r="S18" s="89">
        <f t="shared" si="5"/>
        <v>722.44898392593552</v>
      </c>
      <c r="T18" s="89">
        <f t="shared" si="5"/>
        <v>771.45788475823861</v>
      </c>
      <c r="U18" s="89">
        <f t="shared" si="5"/>
        <v>820.28303794134865</v>
      </c>
      <c r="V18" s="89">
        <f t="shared" si="5"/>
        <v>868.92076852228183</v>
      </c>
      <c r="W18" s="89">
        <f t="shared" si="5"/>
        <v>910.37691528526875</v>
      </c>
      <c r="X18" s="89">
        <f t="shared" si="5"/>
        <v>784.93172765993745</v>
      </c>
      <c r="Y18" s="89">
        <f t="shared" si="5"/>
        <v>700.47794208577875</v>
      </c>
      <c r="Z18" s="89">
        <f t="shared" si="5"/>
        <v>728.94794255945885</v>
      </c>
      <c r="AA18" s="89">
        <f t="shared" si="5"/>
        <v>757.27163797528976</v>
      </c>
      <c r="AB18" s="89">
        <f t="shared" si="5"/>
        <v>0</v>
      </c>
      <c r="AC18" s="89">
        <f t="shared" si="5"/>
        <v>0</v>
      </c>
      <c r="AD18" s="89">
        <f t="shared" si="5"/>
        <v>0</v>
      </c>
      <c r="AE18" s="89">
        <f t="shared" si="5"/>
        <v>0</v>
      </c>
      <c r="AF18" s="89">
        <f t="shared" si="5"/>
        <v>0</v>
      </c>
    </row>
    <row r="19" spans="2:32" x14ac:dyDescent="0.3">
      <c r="B19" s="85"/>
      <c r="D19" s="37"/>
      <c r="E19" s="37"/>
      <c r="F19" s="37"/>
      <c r="G19" s="37"/>
      <c r="H19" s="37"/>
      <c r="I19" s="37"/>
      <c r="J19" s="37"/>
      <c r="K19" s="37"/>
      <c r="L19" s="37"/>
      <c r="M19" s="37"/>
      <c r="N19" s="37"/>
      <c r="O19" s="37"/>
      <c r="P19" s="37"/>
      <c r="Q19" s="37"/>
      <c r="R19" s="37"/>
      <c r="S19" s="37"/>
      <c r="T19" s="37"/>
      <c r="U19" s="87"/>
      <c r="V19" s="87"/>
      <c r="W19" s="87"/>
      <c r="X19" s="87"/>
      <c r="Y19" s="87"/>
      <c r="Z19" s="87"/>
      <c r="AA19" s="87"/>
      <c r="AB19" s="87"/>
      <c r="AC19" s="87"/>
      <c r="AD19" s="87"/>
      <c r="AE19" s="87"/>
      <c r="AF19" s="87"/>
    </row>
    <row r="20" spans="2:32" x14ac:dyDescent="0.3">
      <c r="B20" s="85"/>
      <c r="C20" s="88" t="s">
        <v>265</v>
      </c>
      <c r="D20" s="37"/>
      <c r="E20" s="95"/>
      <c r="F20" s="37"/>
      <c r="G20" s="37"/>
      <c r="H20" s="37"/>
      <c r="I20" s="37"/>
      <c r="J20" s="37"/>
      <c r="K20" s="37"/>
      <c r="L20" s="37"/>
      <c r="M20" s="37"/>
      <c r="N20" s="37"/>
      <c r="O20" s="37"/>
      <c r="P20" s="37"/>
      <c r="Q20" s="37"/>
      <c r="R20" s="37"/>
      <c r="S20" s="37"/>
      <c r="T20" s="37"/>
      <c r="U20" s="87"/>
      <c r="V20" s="87"/>
      <c r="W20" s="87"/>
      <c r="X20" s="87"/>
      <c r="Y20" s="87"/>
      <c r="Z20" s="87"/>
      <c r="AA20" s="87"/>
      <c r="AB20" s="87"/>
      <c r="AC20" s="87"/>
      <c r="AD20" s="87"/>
      <c r="AE20" s="87"/>
      <c r="AF20" s="87"/>
    </row>
    <row r="21" spans="2:32" x14ac:dyDescent="0.3">
      <c r="D21" s="72" t="s">
        <v>157</v>
      </c>
      <c r="E21" s="96"/>
      <c r="G21" s="256">
        <f>-Draws!F64</f>
        <v>-14041.000000000002</v>
      </c>
      <c r="H21" s="96">
        <f>H10</f>
        <v>0</v>
      </c>
      <c r="I21" s="96">
        <f t="shared" ref="I21:AA21" si="6">I10</f>
        <v>0</v>
      </c>
      <c r="J21" s="96">
        <f t="shared" si="6"/>
        <v>0</v>
      </c>
      <c r="K21" s="96">
        <f t="shared" si="6"/>
        <v>0</v>
      </c>
      <c r="L21" s="96">
        <f t="shared" si="6"/>
        <v>0</v>
      </c>
      <c r="M21" s="96">
        <f t="shared" si="6"/>
        <v>0</v>
      </c>
      <c r="N21" s="96">
        <f t="shared" si="6"/>
        <v>0</v>
      </c>
      <c r="O21" s="96">
        <f t="shared" si="6"/>
        <v>0</v>
      </c>
      <c r="P21" s="96">
        <f t="shared" si="6"/>
        <v>0</v>
      </c>
      <c r="Q21" s="96">
        <f t="shared" si="6"/>
        <v>0</v>
      </c>
      <c r="R21" s="96">
        <f t="shared" si="6"/>
        <v>0</v>
      </c>
      <c r="S21" s="96">
        <f t="shared" si="6"/>
        <v>0</v>
      </c>
      <c r="T21" s="96">
        <f t="shared" si="6"/>
        <v>0</v>
      </c>
      <c r="U21" s="96">
        <f t="shared" si="6"/>
        <v>0</v>
      </c>
      <c r="V21" s="96">
        <f t="shared" si="6"/>
        <v>0</v>
      </c>
      <c r="W21" s="96">
        <f t="shared" si="6"/>
        <v>0</v>
      </c>
      <c r="X21" s="96">
        <f t="shared" si="6"/>
        <v>0</v>
      </c>
      <c r="Y21" s="96">
        <f t="shared" si="6"/>
        <v>0</v>
      </c>
      <c r="Z21" s="96">
        <f t="shared" si="6"/>
        <v>0</v>
      </c>
      <c r="AA21" s="96">
        <f t="shared" si="6"/>
        <v>0</v>
      </c>
      <c r="AB21" s="96">
        <f>AB10</f>
        <v>0</v>
      </c>
      <c r="AC21" s="96">
        <f>AC10</f>
        <v>0</v>
      </c>
      <c r="AD21" s="96">
        <f>AD10</f>
        <v>0</v>
      </c>
      <c r="AE21" s="96">
        <f>AE10</f>
        <v>0</v>
      </c>
      <c r="AF21" s="96">
        <f>AF10</f>
        <v>0</v>
      </c>
    </row>
    <row r="22" spans="2:32" s="258" customFormat="1" x14ac:dyDescent="0.3">
      <c r="D22" s="258" t="s">
        <v>158</v>
      </c>
      <c r="E22" s="259"/>
      <c r="F22" s="259"/>
      <c r="G22" s="259">
        <v>0</v>
      </c>
      <c r="H22" s="260">
        <f>H39*H$4</f>
        <v>2135.697705249198</v>
      </c>
      <c r="I22" s="260">
        <f t="shared" ref="I22:AA22" si="7">I39*I$4</f>
        <v>751.92658763049462</v>
      </c>
      <c r="J22" s="260">
        <f t="shared" si="7"/>
        <v>473.38003767035883</v>
      </c>
      <c r="K22" s="260">
        <f t="shared" si="7"/>
        <v>494.46391174943574</v>
      </c>
      <c r="L22" s="260">
        <f t="shared" si="7"/>
        <v>536.95544719679333</v>
      </c>
      <c r="M22" s="260">
        <f t="shared" si="7"/>
        <v>556.86463940649276</v>
      </c>
      <c r="N22" s="260">
        <f t="shared" si="7"/>
        <v>574.53516142583919</v>
      </c>
      <c r="O22" s="260">
        <f t="shared" si="7"/>
        <v>592.04252079115804</v>
      </c>
      <c r="P22" s="260">
        <f t="shared" si="7"/>
        <v>609.38345424936915</v>
      </c>
      <c r="Q22" s="260">
        <f t="shared" si="7"/>
        <v>626.55463328232997</v>
      </c>
      <c r="R22" s="260">
        <f t="shared" si="7"/>
        <v>673.25993833952157</v>
      </c>
      <c r="S22" s="260">
        <f t="shared" si="7"/>
        <v>722.44898392593552</v>
      </c>
      <c r="T22" s="260">
        <f t="shared" si="7"/>
        <v>771.45788475823861</v>
      </c>
      <c r="U22" s="260">
        <f t="shared" si="7"/>
        <v>820.28303794134865</v>
      </c>
      <c r="V22" s="260">
        <f t="shared" si="7"/>
        <v>868.92076852228183</v>
      </c>
      <c r="W22" s="260">
        <f t="shared" si="7"/>
        <v>910.37691528526875</v>
      </c>
      <c r="X22" s="260">
        <f t="shared" si="7"/>
        <v>784.93172765993745</v>
      </c>
      <c r="Y22" s="260">
        <f t="shared" si="7"/>
        <v>700.47794208577875</v>
      </c>
      <c r="Z22" s="260">
        <f t="shared" si="7"/>
        <v>728.94794255945885</v>
      </c>
      <c r="AA22" s="260">
        <f t="shared" si="7"/>
        <v>757.27163797528976</v>
      </c>
      <c r="AB22" s="260">
        <f>AB39*AB$4</f>
        <v>0</v>
      </c>
      <c r="AC22" s="260">
        <f>AC39*AC$4</f>
        <v>0</v>
      </c>
      <c r="AD22" s="260">
        <f>AD39*AD$4</f>
        <v>0</v>
      </c>
      <c r="AE22" s="260">
        <f>AE39*AE$4</f>
        <v>0</v>
      </c>
      <c r="AF22" s="260">
        <f>AF39*AF$4</f>
        <v>0</v>
      </c>
    </row>
    <row r="23" spans="2:32" x14ac:dyDescent="0.3">
      <c r="D23" s="72" t="s">
        <v>159</v>
      </c>
      <c r="G23" s="96">
        <v>0</v>
      </c>
      <c r="H23" s="98">
        <f>$F$48*(H2='Fin Inputs'!$F$13)</f>
        <v>0</v>
      </c>
      <c r="I23" s="98">
        <f>$F$48*(I2='Fin Inputs'!$F$13)</f>
        <v>0</v>
      </c>
      <c r="J23" s="98">
        <f>$F$48*(J2='Fin Inputs'!$F$13)</f>
        <v>0</v>
      </c>
      <c r="K23" s="98">
        <f>$F$48*(K2='Fin Inputs'!$F$13)</f>
        <v>0</v>
      </c>
      <c r="L23" s="98">
        <f>$F$48*(L2='Fin Inputs'!$F$13)</f>
        <v>0</v>
      </c>
      <c r="M23" s="98">
        <f>$F$48*(M2='Fin Inputs'!$F$13)</f>
        <v>0</v>
      </c>
      <c r="N23" s="98">
        <f>$F$48*(N2='Fin Inputs'!$F$13)</f>
        <v>0</v>
      </c>
      <c r="O23" s="98">
        <f>$F$48*(O2='Fin Inputs'!$F$13)</f>
        <v>0</v>
      </c>
      <c r="P23" s="98">
        <f>$F$48*(P2='Fin Inputs'!$F$13)</f>
        <v>0</v>
      </c>
      <c r="Q23" s="98">
        <f>$F$48*(Q2='Fin Inputs'!$F$13)</f>
        <v>0</v>
      </c>
      <c r="R23" s="98">
        <f>$F$48*(R2='Fin Inputs'!$F$13)</f>
        <v>0</v>
      </c>
      <c r="S23" s="98">
        <f>$F$48*(S2='Fin Inputs'!$F$13)</f>
        <v>0</v>
      </c>
      <c r="T23" s="98">
        <f>$F$48*(T2='Fin Inputs'!$F$13)</f>
        <v>0</v>
      </c>
      <c r="U23" s="98">
        <f>$F$48*(U2='Fin Inputs'!$F$13)</f>
        <v>0</v>
      </c>
      <c r="V23" s="98">
        <f>$F$48*(V2='Fin Inputs'!$F$13)</f>
        <v>0</v>
      </c>
      <c r="W23" s="98">
        <f>$F$48*(W2='Fin Inputs'!$F$13)</f>
        <v>0</v>
      </c>
      <c r="X23" s="98">
        <f>$F$48*(X2='Fin Inputs'!$F$13)</f>
        <v>0</v>
      </c>
      <c r="Y23" s="98">
        <f>$F$48*(Y2='Fin Inputs'!$F$13)</f>
        <v>0</v>
      </c>
      <c r="Z23" s="98">
        <f>$F$48*(Z2='Fin Inputs'!$F$13)</f>
        <v>0</v>
      </c>
      <c r="AA23" s="98">
        <f>$F$48*(AA2='Fin Inputs'!$F$13)</f>
        <v>0</v>
      </c>
      <c r="AB23" s="98">
        <f>$F$48*(AB2='Fin Inputs'!$F$13)</f>
        <v>0</v>
      </c>
      <c r="AC23" s="98">
        <f>$F$48*(AC2='Fin Inputs'!$F$13)</f>
        <v>0</v>
      </c>
      <c r="AD23" s="98">
        <f>$F$48*(AD2='Fin Inputs'!$F$13)</f>
        <v>0</v>
      </c>
      <c r="AE23" s="98">
        <f>$F$48*(AE2='Fin Inputs'!$F$13)</f>
        <v>0</v>
      </c>
      <c r="AF23" s="98">
        <f>$F$48*(AF2='Fin Inputs'!$F$13)</f>
        <v>0</v>
      </c>
    </row>
    <row r="24" spans="2:32" x14ac:dyDescent="0.3">
      <c r="B24" s="99">
        <v>15</v>
      </c>
      <c r="D24" s="72" t="s">
        <v>160</v>
      </c>
      <c r="G24" s="96">
        <v>0</v>
      </c>
      <c r="H24" s="98">
        <f>'Fin Inputs'!$AC$44*(IRR!H2&lt;='Fin Inputs'!$AC$45)</f>
        <v>4212.3</v>
      </c>
      <c r="I24" s="191">
        <f>'Fin Inputs'!$AC$44*(IRR!I2&lt;='Fin Inputs'!$AC$45)</f>
        <v>0</v>
      </c>
      <c r="J24" s="191">
        <f>'Fin Inputs'!$AC$44*(IRR!J2&lt;='Fin Inputs'!$AC$45)</f>
        <v>0</v>
      </c>
      <c r="K24" s="191">
        <f>'Fin Inputs'!$AC$44*(IRR!K2&lt;='Fin Inputs'!$AC$45)</f>
        <v>0</v>
      </c>
      <c r="L24" s="191">
        <f>'Fin Inputs'!$AC$44*(IRR!L2&lt;='Fin Inputs'!$AC$45)</f>
        <v>0</v>
      </c>
      <c r="M24" s="191">
        <f>'Fin Inputs'!$AC$44*(IRR!M2&lt;='Fin Inputs'!$AC$45)</f>
        <v>0</v>
      </c>
      <c r="N24" s="191">
        <f>'Fin Inputs'!$AC$44*(IRR!N2&lt;='Fin Inputs'!$AC$45)</f>
        <v>0</v>
      </c>
      <c r="O24" s="191">
        <f>'Fin Inputs'!$AC$44*(IRR!O2&lt;='Fin Inputs'!$AC$45)</f>
        <v>0</v>
      </c>
      <c r="P24" s="191">
        <f>'Fin Inputs'!$AC$44*(IRR!P2&lt;='Fin Inputs'!$AC$45)</f>
        <v>0</v>
      </c>
      <c r="Q24" s="191">
        <f>'Fin Inputs'!$AC$44*(IRR!Q2&lt;='Fin Inputs'!$AC$45)</f>
        <v>0</v>
      </c>
      <c r="R24" s="191">
        <f>'Fin Inputs'!$AC$44*(IRR!R2&lt;='Fin Inputs'!$AC$45)</f>
        <v>0</v>
      </c>
      <c r="S24" s="191">
        <f>'Fin Inputs'!$AC$44*(IRR!S2&lt;='Fin Inputs'!$AC$45)</f>
        <v>0</v>
      </c>
      <c r="T24" s="191">
        <f>'Fin Inputs'!$AC$44*(IRR!T2&lt;='Fin Inputs'!$AC$45)</f>
        <v>0</v>
      </c>
      <c r="U24" s="191">
        <f>'Fin Inputs'!$AC$44*(IRR!U2&lt;='Fin Inputs'!$AC$45)</f>
        <v>0</v>
      </c>
      <c r="V24" s="191">
        <f>'Fin Inputs'!$AC$44*(IRR!V2&lt;='Fin Inputs'!$AC$45)</f>
        <v>0</v>
      </c>
      <c r="W24" s="191">
        <f>'Fin Inputs'!$AC$44*(IRR!W2&lt;='Fin Inputs'!$AC$45)</f>
        <v>0</v>
      </c>
      <c r="X24" s="191">
        <f>'Fin Inputs'!$AC$44*(IRR!X2&lt;='Fin Inputs'!$AC$45)</f>
        <v>0</v>
      </c>
      <c r="Y24" s="191">
        <f>'Fin Inputs'!$AC$44*(IRR!Y2&lt;='Fin Inputs'!$AC$45)</f>
        <v>0</v>
      </c>
      <c r="Z24" s="191">
        <f>'Fin Inputs'!$AC$44*(IRR!Z2&lt;='Fin Inputs'!$AC$45)</f>
        <v>0</v>
      </c>
      <c r="AA24" s="191">
        <f>'Fin Inputs'!$AC$44*(IRR!AA2&lt;='Fin Inputs'!$AC$45)</f>
        <v>0</v>
      </c>
      <c r="AB24" s="191">
        <f>'Fin Inputs'!$AC$44*(IRR!AB2&lt;='Fin Inputs'!$AC$45)</f>
        <v>0</v>
      </c>
      <c r="AC24" s="191">
        <f>'Fin Inputs'!$AC$44*(IRR!AC2&lt;='Fin Inputs'!$AC$45)</f>
        <v>0</v>
      </c>
      <c r="AD24" s="191">
        <f>'Fin Inputs'!$AC$44*(IRR!AD2&lt;='Fin Inputs'!$AC$45)</f>
        <v>0</v>
      </c>
      <c r="AE24" s="191">
        <f>'Fin Inputs'!$AC$44*(IRR!AE2&lt;='Fin Inputs'!$AC$45)</f>
        <v>0</v>
      </c>
      <c r="AF24" s="191">
        <f>'Fin Inputs'!$AC$44*(IRR!AF2&lt;='Fin Inputs'!$AC$45)</f>
        <v>0</v>
      </c>
    </row>
    <row r="25" spans="2:32" x14ac:dyDescent="0.3">
      <c r="D25" s="252" t="s">
        <v>89</v>
      </c>
      <c r="E25" s="251">
        <f>'Fin Inputs'!$AC$34</f>
        <v>0.125</v>
      </c>
      <c r="F25" s="101"/>
      <c r="G25" s="101"/>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row>
    <row r="26" spans="2:32" x14ac:dyDescent="0.3">
      <c r="D26" s="252" t="s">
        <v>14</v>
      </c>
      <c r="E26" s="251">
        <f>'Gap Calculator'!$E$62</f>
        <v>0.125</v>
      </c>
      <c r="F26" s="101"/>
      <c r="G26" s="101"/>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row>
    <row r="27" spans="2:32" x14ac:dyDescent="0.3">
      <c r="E27" s="91" t="s">
        <v>10</v>
      </c>
      <c r="F27" s="91" t="s">
        <v>8</v>
      </c>
      <c r="G27" s="92"/>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row>
    <row r="28" spans="2:32" x14ac:dyDescent="0.3">
      <c r="D28" s="72" t="s">
        <v>266</v>
      </c>
      <c r="E28" s="93">
        <f>NPV($E$26,G28:AF28)</f>
        <v>-7232.8151846086184</v>
      </c>
      <c r="F28" s="94">
        <f>IRR(G28:AF28)</f>
        <v>7.1991040753207614E-3</v>
      </c>
      <c r="G28" s="89">
        <f>SUM(G21:G22)</f>
        <v>-14041.000000000002</v>
      </c>
      <c r="H28" s="89">
        <f>SUM(H21:H22)</f>
        <v>2135.697705249198</v>
      </c>
      <c r="I28" s="89">
        <f>SUM(I21:I22)</f>
        <v>751.92658763049462</v>
      </c>
      <c r="J28" s="89">
        <f t="shared" ref="J28:AA28" si="8">SUM(J21:J22)</f>
        <v>473.38003767035883</v>
      </c>
      <c r="K28" s="89">
        <f t="shared" si="8"/>
        <v>494.46391174943574</v>
      </c>
      <c r="L28" s="89">
        <f t="shared" si="8"/>
        <v>536.95544719679333</v>
      </c>
      <c r="M28" s="89">
        <f t="shared" si="8"/>
        <v>556.86463940649276</v>
      </c>
      <c r="N28" s="89">
        <f t="shared" si="8"/>
        <v>574.53516142583919</v>
      </c>
      <c r="O28" s="89">
        <f t="shared" si="8"/>
        <v>592.04252079115804</v>
      </c>
      <c r="P28" s="89">
        <f t="shared" si="8"/>
        <v>609.38345424936915</v>
      </c>
      <c r="Q28" s="89">
        <f t="shared" si="8"/>
        <v>626.55463328232997</v>
      </c>
      <c r="R28" s="89">
        <f t="shared" si="8"/>
        <v>673.25993833952157</v>
      </c>
      <c r="S28" s="89">
        <f t="shared" si="8"/>
        <v>722.44898392593552</v>
      </c>
      <c r="T28" s="89">
        <f t="shared" si="8"/>
        <v>771.45788475823861</v>
      </c>
      <c r="U28" s="89">
        <f t="shared" si="8"/>
        <v>820.28303794134865</v>
      </c>
      <c r="V28" s="89">
        <f t="shared" si="8"/>
        <v>868.92076852228183</v>
      </c>
      <c r="W28" s="89">
        <f t="shared" si="8"/>
        <v>910.37691528526875</v>
      </c>
      <c r="X28" s="89">
        <f t="shared" si="8"/>
        <v>784.93172765993745</v>
      </c>
      <c r="Y28" s="89">
        <f t="shared" si="8"/>
        <v>700.47794208577875</v>
      </c>
      <c r="Z28" s="89">
        <f t="shared" si="8"/>
        <v>728.94794255945885</v>
      </c>
      <c r="AA28" s="89">
        <f t="shared" si="8"/>
        <v>757.27163797528976</v>
      </c>
      <c r="AB28" s="89">
        <f>SUM(AB21:AB22)</f>
        <v>0</v>
      </c>
      <c r="AC28" s="89">
        <f>SUM(AC21:AC22)</f>
        <v>0</v>
      </c>
      <c r="AD28" s="89">
        <f>SUM(AD21:AD22)</f>
        <v>0</v>
      </c>
      <c r="AE28" s="89">
        <f>SUM(AE21:AE22)</f>
        <v>0</v>
      </c>
      <c r="AF28" s="89">
        <f>SUM(AF21:AF22)</f>
        <v>0</v>
      </c>
    </row>
    <row r="29" spans="2:32" x14ac:dyDescent="0.3">
      <c r="D29" s="72" t="s">
        <v>267</v>
      </c>
      <c r="E29" s="93">
        <f t="shared" ref="E29" si="9">NPV($E$26,G29:AF29)</f>
        <v>-7232.8151846086184</v>
      </c>
      <c r="F29" s="94">
        <f t="shared" ref="F29:F30" si="10">IRR(G29:AF29)</f>
        <v>7.1991040753207614E-3</v>
      </c>
      <c r="G29" s="89">
        <f>SUM(G21:G23)</f>
        <v>-14041.000000000002</v>
      </c>
      <c r="H29" s="89">
        <f t="shared" ref="H29:AA29" si="11">SUM(H21:H23)</f>
        <v>2135.697705249198</v>
      </c>
      <c r="I29" s="89">
        <f t="shared" si="11"/>
        <v>751.92658763049462</v>
      </c>
      <c r="J29" s="89">
        <f t="shared" si="11"/>
        <v>473.38003767035883</v>
      </c>
      <c r="K29" s="89">
        <f t="shared" si="11"/>
        <v>494.46391174943574</v>
      </c>
      <c r="L29" s="89">
        <f t="shared" si="11"/>
        <v>536.95544719679333</v>
      </c>
      <c r="M29" s="89">
        <f t="shared" si="11"/>
        <v>556.86463940649276</v>
      </c>
      <c r="N29" s="89">
        <f t="shared" si="11"/>
        <v>574.53516142583919</v>
      </c>
      <c r="O29" s="89">
        <f t="shared" si="11"/>
        <v>592.04252079115804</v>
      </c>
      <c r="P29" s="89">
        <f t="shared" si="11"/>
        <v>609.38345424936915</v>
      </c>
      <c r="Q29" s="89">
        <f t="shared" si="11"/>
        <v>626.55463328232997</v>
      </c>
      <c r="R29" s="89">
        <f t="shared" si="11"/>
        <v>673.25993833952157</v>
      </c>
      <c r="S29" s="89">
        <f t="shared" si="11"/>
        <v>722.44898392593552</v>
      </c>
      <c r="T29" s="89">
        <f t="shared" si="11"/>
        <v>771.45788475823861</v>
      </c>
      <c r="U29" s="89">
        <f t="shared" si="11"/>
        <v>820.28303794134865</v>
      </c>
      <c r="V29" s="89">
        <f t="shared" si="11"/>
        <v>868.92076852228183</v>
      </c>
      <c r="W29" s="89">
        <f t="shared" si="11"/>
        <v>910.37691528526875</v>
      </c>
      <c r="X29" s="89">
        <f t="shared" si="11"/>
        <v>784.93172765993745</v>
      </c>
      <c r="Y29" s="89">
        <f t="shared" si="11"/>
        <v>700.47794208577875</v>
      </c>
      <c r="Z29" s="89">
        <f t="shared" si="11"/>
        <v>728.94794255945885</v>
      </c>
      <c r="AA29" s="89">
        <f t="shared" si="11"/>
        <v>757.27163797528976</v>
      </c>
      <c r="AB29" s="89">
        <f>SUM(AB21:AB23)</f>
        <v>0</v>
      </c>
      <c r="AC29" s="89">
        <f>SUM(AC21:AC23)</f>
        <v>0</v>
      </c>
      <c r="AD29" s="89">
        <f>SUM(AD21:AD23)</f>
        <v>0</v>
      </c>
      <c r="AE29" s="89">
        <f>SUM(AE21:AE23)</f>
        <v>0</v>
      </c>
      <c r="AF29" s="89">
        <f>SUM(AF21:AF23)</f>
        <v>0</v>
      </c>
    </row>
    <row r="30" spans="2:32" x14ac:dyDescent="0.3">
      <c r="D30" s="72" t="s">
        <v>565</v>
      </c>
      <c r="E30" s="93">
        <f>NPV($E$26,G30:AF30)</f>
        <v>-3904.5781475715798</v>
      </c>
      <c r="F30" s="94">
        <f t="shared" si="10"/>
        <v>4.4986550669087855E-2</v>
      </c>
      <c r="G30" s="89">
        <f>SUM(G21:G22,G24)</f>
        <v>-14041.000000000002</v>
      </c>
      <c r="H30" s="89">
        <f t="shared" ref="H30:AF30" si="12">SUM(H21:H22,H24)</f>
        <v>6347.9977052491977</v>
      </c>
      <c r="I30" s="89">
        <f t="shared" si="12"/>
        <v>751.92658763049462</v>
      </c>
      <c r="J30" s="89">
        <f t="shared" si="12"/>
        <v>473.38003767035883</v>
      </c>
      <c r="K30" s="89">
        <f t="shared" si="12"/>
        <v>494.46391174943574</v>
      </c>
      <c r="L30" s="89">
        <f t="shared" si="12"/>
        <v>536.95544719679333</v>
      </c>
      <c r="M30" s="89">
        <f t="shared" si="12"/>
        <v>556.86463940649276</v>
      </c>
      <c r="N30" s="89">
        <f t="shared" si="12"/>
        <v>574.53516142583919</v>
      </c>
      <c r="O30" s="89">
        <f t="shared" si="12"/>
        <v>592.04252079115804</v>
      </c>
      <c r="P30" s="89">
        <f t="shared" si="12"/>
        <v>609.38345424936915</v>
      </c>
      <c r="Q30" s="89">
        <f t="shared" si="12"/>
        <v>626.55463328232997</v>
      </c>
      <c r="R30" s="89">
        <f t="shared" si="12"/>
        <v>673.25993833952157</v>
      </c>
      <c r="S30" s="89">
        <f t="shared" si="12"/>
        <v>722.44898392593552</v>
      </c>
      <c r="T30" s="89">
        <f t="shared" si="12"/>
        <v>771.45788475823861</v>
      </c>
      <c r="U30" s="89">
        <f t="shared" si="12"/>
        <v>820.28303794134865</v>
      </c>
      <c r="V30" s="89">
        <f t="shared" si="12"/>
        <v>868.92076852228183</v>
      </c>
      <c r="W30" s="89">
        <f t="shared" si="12"/>
        <v>910.37691528526875</v>
      </c>
      <c r="X30" s="89">
        <f t="shared" si="12"/>
        <v>784.93172765993745</v>
      </c>
      <c r="Y30" s="89">
        <f t="shared" si="12"/>
        <v>700.47794208577875</v>
      </c>
      <c r="Z30" s="89">
        <f t="shared" si="12"/>
        <v>728.94794255945885</v>
      </c>
      <c r="AA30" s="89">
        <f t="shared" si="12"/>
        <v>757.27163797528976</v>
      </c>
      <c r="AB30" s="89">
        <f t="shared" si="12"/>
        <v>0</v>
      </c>
      <c r="AC30" s="89">
        <f t="shared" si="12"/>
        <v>0</v>
      </c>
      <c r="AD30" s="89">
        <f t="shared" si="12"/>
        <v>0</v>
      </c>
      <c r="AE30" s="89">
        <f t="shared" si="12"/>
        <v>0</v>
      </c>
      <c r="AF30" s="89">
        <f t="shared" si="12"/>
        <v>0</v>
      </c>
    </row>
    <row r="31" spans="2:32" x14ac:dyDescent="0.3">
      <c r="E31" s="72">
        <f>NPV(E26,G30:AF30)</f>
        <v>-3904.5781475715798</v>
      </c>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row>
    <row r="32" spans="2:32" x14ac:dyDescent="0.3">
      <c r="F32" s="257">
        <f>IRR(G28:AA28)</f>
        <v>7.1991040753207614E-3</v>
      </c>
      <c r="H32" s="101"/>
      <c r="I32" s="101"/>
      <c r="J32" s="101"/>
      <c r="K32" s="101"/>
      <c r="L32" s="101"/>
      <c r="M32" s="101"/>
      <c r="N32" s="101"/>
      <c r="O32" s="101"/>
      <c r="P32" s="101"/>
      <c r="Q32" s="101"/>
      <c r="R32" s="101"/>
      <c r="S32" s="101"/>
      <c r="T32" s="101"/>
      <c r="U32" s="101"/>
      <c r="V32" s="101"/>
      <c r="W32" s="101"/>
      <c r="X32" s="101"/>
      <c r="Y32" s="101"/>
      <c r="Z32" s="101"/>
      <c r="AA32" s="101"/>
      <c r="AB32" s="101"/>
      <c r="AC32" s="101"/>
      <c r="AD32" s="101"/>
      <c r="AE32" s="101"/>
      <c r="AF32" s="101"/>
    </row>
    <row r="33" spans="2:42" ht="15" thickBot="1" x14ac:dyDescent="0.35">
      <c r="B33" s="81" t="s">
        <v>268</v>
      </c>
      <c r="C33" s="82"/>
      <c r="D33" s="83"/>
      <c r="E33" s="83"/>
      <c r="F33" s="83"/>
      <c r="G33" s="83"/>
      <c r="H33" s="83"/>
      <c r="I33" s="83"/>
      <c r="J33" s="83"/>
      <c r="K33" s="83"/>
      <c r="L33" s="83"/>
      <c r="M33" s="83"/>
      <c r="N33" s="83"/>
      <c r="O33" s="83"/>
      <c r="P33" s="83"/>
      <c r="Q33" s="83"/>
      <c r="R33" s="83"/>
      <c r="S33" s="83"/>
      <c r="T33" s="83"/>
      <c r="U33" s="84"/>
      <c r="V33" s="84"/>
      <c r="W33" s="84"/>
      <c r="X33" s="84"/>
      <c r="Y33" s="84"/>
      <c r="Z33" s="84"/>
      <c r="AA33" s="84"/>
      <c r="AB33" s="84"/>
      <c r="AC33" s="84"/>
      <c r="AD33" s="84"/>
      <c r="AE33" s="84"/>
      <c r="AF33" s="84"/>
    </row>
    <row r="35" spans="2:42" x14ac:dyDescent="0.3">
      <c r="D35" t="s">
        <v>269</v>
      </c>
      <c r="E35"/>
      <c r="H35" s="97">
        <f>('Fin Statement'!G49+'Fin Statement'!G53)*H4</f>
        <v>2135.697705249198</v>
      </c>
      <c r="I35" s="97">
        <f>('Fin Statement'!H49+'Fin Statement'!H53)*I4</f>
        <v>751.92658763049462</v>
      </c>
      <c r="J35" s="97">
        <f>('Fin Statement'!I49+'Fin Statement'!I53)*J4</f>
        <v>473.38003767035883</v>
      </c>
      <c r="K35" s="97">
        <f>('Fin Statement'!J49+'Fin Statement'!J53)*K4</f>
        <v>494.46391174943574</v>
      </c>
      <c r="L35" s="97">
        <f>('Fin Statement'!K49+'Fin Statement'!K53)*L4</f>
        <v>536.95544719679333</v>
      </c>
      <c r="M35" s="97">
        <f>('Fin Statement'!L49+'Fin Statement'!L53)*M4</f>
        <v>556.86463940649276</v>
      </c>
      <c r="N35" s="97">
        <f>('Fin Statement'!M49+'Fin Statement'!M53)*N4</f>
        <v>574.53516142583919</v>
      </c>
      <c r="O35" s="97">
        <f>('Fin Statement'!N49+'Fin Statement'!N53)*O4</f>
        <v>592.04252079115804</v>
      </c>
      <c r="P35" s="97">
        <f>('Fin Statement'!O49+'Fin Statement'!O53)*P4</f>
        <v>609.38345424936915</v>
      </c>
      <c r="Q35" s="97">
        <f>('Fin Statement'!P49+'Fin Statement'!P53)*Q4</f>
        <v>626.55463328232997</v>
      </c>
      <c r="R35" s="97">
        <f>('Fin Statement'!Q49+'Fin Statement'!Q53)*R4</f>
        <v>673.25993833952157</v>
      </c>
      <c r="S35" s="97">
        <f>('Fin Statement'!R49+'Fin Statement'!R53)*S4</f>
        <v>722.44898392593552</v>
      </c>
      <c r="T35" s="97">
        <f>('Fin Statement'!S49+'Fin Statement'!S53)*T4</f>
        <v>771.45788475823861</v>
      </c>
      <c r="U35" s="97">
        <f>('Fin Statement'!T49+'Fin Statement'!T53)*U4</f>
        <v>820.28303794134865</v>
      </c>
      <c r="V35" s="97">
        <f>('Fin Statement'!U49+'Fin Statement'!U53)*V4</f>
        <v>868.92076852228183</v>
      </c>
      <c r="W35" s="97">
        <f>('Fin Statement'!V49+'Fin Statement'!V53)*W4</f>
        <v>910.37691528526875</v>
      </c>
      <c r="X35" s="97">
        <f>('Fin Statement'!W49+'Fin Statement'!W53)*X4</f>
        <v>784.93172765993745</v>
      </c>
      <c r="Y35" s="97">
        <f>('Fin Statement'!X49+'Fin Statement'!X53)*Y4</f>
        <v>700.47794208577875</v>
      </c>
      <c r="Z35" s="97">
        <f>('Fin Statement'!Y49+'Fin Statement'!Y53)*Z4</f>
        <v>728.94794255945885</v>
      </c>
      <c r="AA35" s="97">
        <f>('Fin Statement'!Z49+'Fin Statement'!Z53)*AA4</f>
        <v>757.27163797528976</v>
      </c>
      <c r="AB35" s="97">
        <f>('Fin Statement'!AA49+'Fin Statement'!AA53)*AB4</f>
        <v>0</v>
      </c>
      <c r="AC35" s="97">
        <f>('Fin Statement'!AB49+'Fin Statement'!AB53)*AC4</f>
        <v>0</v>
      </c>
      <c r="AD35" s="97">
        <f>('Fin Statement'!AC49+'Fin Statement'!AC53)*AD4</f>
        <v>0</v>
      </c>
      <c r="AE35" s="97">
        <f>('Fin Statement'!AD49+'Fin Statement'!AD53)*AE4</f>
        <v>0</v>
      </c>
      <c r="AF35" s="97">
        <f>('Fin Statement'!AE49+'Fin Statement'!AE53)*AF4</f>
        <v>0</v>
      </c>
    </row>
    <row r="36" spans="2:42" x14ac:dyDescent="0.3">
      <c r="D36" t="s">
        <v>229</v>
      </c>
      <c r="E36"/>
      <c r="F36"/>
      <c r="G36" s="102">
        <f>'Fin Inputs'!AC31</f>
        <v>0</v>
      </c>
      <c r="H36" s="41" t="str">
        <f>IF($G$36, MIN(H35,'Fin Statement'!G23)+MIN('Fin Statement'!G19,'Fin Statement'!G49),"")</f>
        <v/>
      </c>
      <c r="I36" s="41" t="str">
        <f>IF($G$36, MIN(I35,'Fin Statement'!H23)+MIN('Fin Statement'!H19,'Fin Statement'!H49),"")</f>
        <v/>
      </c>
      <c r="J36" s="41" t="str">
        <f>IF($G$36, MIN(J35,'Fin Statement'!I23)+MIN('Fin Statement'!I19,'Fin Statement'!I49),"")</f>
        <v/>
      </c>
      <c r="K36" s="41" t="str">
        <f>IF($G$36, MIN(K35,'Fin Statement'!J23)+MIN('Fin Statement'!J19,'Fin Statement'!J49),"")</f>
        <v/>
      </c>
      <c r="L36" s="41" t="str">
        <f>IF($G$36, MIN(L35,'Fin Statement'!K23)+MIN('Fin Statement'!K19,'Fin Statement'!K49),"")</f>
        <v/>
      </c>
      <c r="M36" s="41" t="str">
        <f>IF($G$36, MIN(M35,'Fin Statement'!L23)+MIN('Fin Statement'!L19,'Fin Statement'!L49),"")</f>
        <v/>
      </c>
      <c r="N36" s="41" t="str">
        <f>IF($G$36, MIN(N35,'Fin Statement'!M23)+MIN('Fin Statement'!M19,'Fin Statement'!M49),"")</f>
        <v/>
      </c>
      <c r="O36" s="41" t="str">
        <f>IF($G$36, MIN(O35,'Fin Statement'!N23)+MIN('Fin Statement'!N19,'Fin Statement'!N49),"")</f>
        <v/>
      </c>
      <c r="P36" s="41" t="str">
        <f>IF($G$36, MIN(P35,'Fin Statement'!O23)+MIN('Fin Statement'!O19,'Fin Statement'!O49),"")</f>
        <v/>
      </c>
      <c r="Q36" s="41" t="str">
        <f>IF($G$36, MIN(Q35,'Fin Statement'!P23)+MIN('Fin Statement'!P19,'Fin Statement'!P49),"")</f>
        <v/>
      </c>
      <c r="R36" s="41" t="str">
        <f>IF($G$36, MIN(R35,'Fin Statement'!Q23)+MIN('Fin Statement'!Q19,'Fin Statement'!Q49),"")</f>
        <v/>
      </c>
      <c r="S36" s="41" t="str">
        <f>IF($G$36, MIN(S35,'Fin Statement'!R23)+MIN('Fin Statement'!R19,'Fin Statement'!R49),"")</f>
        <v/>
      </c>
      <c r="T36" s="41" t="str">
        <f>IF($G$36, MIN(T35,'Fin Statement'!S23)+MIN('Fin Statement'!S19,'Fin Statement'!S49),"")</f>
        <v/>
      </c>
      <c r="U36" s="41" t="str">
        <f>IF($G$36, MIN(U35,'Fin Statement'!T23)+MIN('Fin Statement'!T19,'Fin Statement'!T49),"")</f>
        <v/>
      </c>
      <c r="V36" s="41" t="str">
        <f>IF($G$36, MIN(V35,'Fin Statement'!U23)+MIN('Fin Statement'!U19,'Fin Statement'!U49),"")</f>
        <v/>
      </c>
      <c r="W36" s="41" t="str">
        <f>IF($G$36, MIN(W35,'Fin Statement'!V23)+MIN('Fin Statement'!V19,'Fin Statement'!V49),"")</f>
        <v/>
      </c>
      <c r="X36" s="41" t="str">
        <f>IF($G$36, MIN(X35,'Fin Statement'!W23)+MIN('Fin Statement'!W19,'Fin Statement'!W49),"")</f>
        <v/>
      </c>
      <c r="Y36" s="41" t="str">
        <f>IF($G$36, MIN(Y35,'Fin Statement'!X23)+MIN('Fin Statement'!X19,'Fin Statement'!X49),"")</f>
        <v/>
      </c>
      <c r="Z36" s="41" t="str">
        <f>IF($G$36, MIN(Z35,'Fin Statement'!Y23)+MIN('Fin Statement'!Y19,'Fin Statement'!Y49),"")</f>
        <v/>
      </c>
      <c r="AA36" s="41" t="str">
        <f>IF($G$36, MIN(AA35,'Fin Statement'!Z23)+MIN('Fin Statement'!Z19,'Fin Statement'!Z49),"")</f>
        <v/>
      </c>
      <c r="AB36" s="41" t="str">
        <f>IF($G$36, MIN(AB35,'Fin Statement'!AA23)+MIN('Fin Statement'!AA19,'Fin Statement'!AA49),"")</f>
        <v/>
      </c>
      <c r="AC36" s="41" t="str">
        <f>IF($G$36, MIN(AC35,'Fin Statement'!AB23)+MIN('Fin Statement'!AB19,'Fin Statement'!AB49),"")</f>
        <v/>
      </c>
      <c r="AD36" s="41" t="str">
        <f>IF($G$36, MIN(AD35,'Fin Statement'!AC23)+MIN('Fin Statement'!AC19,'Fin Statement'!AC49),"")</f>
        <v/>
      </c>
      <c r="AE36" s="41" t="str">
        <f>IF($G$36, MIN(AE35,'Fin Statement'!AD23)+MIN('Fin Statement'!AD19,'Fin Statement'!AD49),"")</f>
        <v/>
      </c>
      <c r="AF36" s="41" t="str">
        <f>IF($G$36, MIN(AF35,'Fin Statement'!AE23)+MIN('Fin Statement'!AE19,'Fin Statement'!AE49),"")</f>
        <v/>
      </c>
    </row>
    <row r="37" spans="2:42" x14ac:dyDescent="0.3">
      <c r="D37" t="s">
        <v>270</v>
      </c>
      <c r="E37"/>
      <c r="F37" s="103" t="str">
        <f>'Fin Inputs'!AC33</f>
        <v>N/A</v>
      </c>
      <c r="G37" s="102">
        <f>'Fin Inputs'!AC32</f>
        <v>0</v>
      </c>
      <c r="H37" s="97" t="str">
        <f>IF($G$37,H$35*('Fin Statement'!G$57&gt;=$F$37),"")</f>
        <v/>
      </c>
      <c r="I37" s="97" t="str">
        <f>IF($G$37,I$35*('Fin Statement'!H$57&gt;=$F$37),"")</f>
        <v/>
      </c>
      <c r="J37" s="97" t="str">
        <f>IF($G$37,J$35*('Fin Statement'!I$57&gt;=$F$37),"")</f>
        <v/>
      </c>
      <c r="K37" s="97" t="str">
        <f>IF($G$37,K$35*('Fin Statement'!J$57&gt;=$F$37),"")</f>
        <v/>
      </c>
      <c r="L37" s="97" t="str">
        <f>IF($G$37,L$35*('Fin Statement'!K$57&gt;=$F$37),"")</f>
        <v/>
      </c>
      <c r="M37" s="97" t="str">
        <f>IF($G$37,M$35*('Fin Statement'!L$57&gt;=$F$37),"")</f>
        <v/>
      </c>
      <c r="N37" s="97" t="str">
        <f>IF($G$37,N$35*('Fin Statement'!M$57&gt;=$F$37),"")</f>
        <v/>
      </c>
      <c r="O37" s="97" t="str">
        <f>IF($G$37,O$35*('Fin Statement'!N$57&gt;=$F$37),"")</f>
        <v/>
      </c>
      <c r="P37" s="97" t="str">
        <f>IF($G$37,P$35*('Fin Statement'!O$57&gt;=$F$37),"")</f>
        <v/>
      </c>
      <c r="Q37" s="97" t="str">
        <f>IF($G$37,Q$35*('Fin Statement'!P$57&gt;=$F$37),"")</f>
        <v/>
      </c>
      <c r="R37" s="97" t="str">
        <f>IF($G$37,R$35*('Fin Statement'!Q$57&gt;=$F$37),"")</f>
        <v/>
      </c>
      <c r="S37" s="97" t="str">
        <f>IF($G$37,S$35*('Fin Statement'!R$57&gt;=$F$37),"")</f>
        <v/>
      </c>
      <c r="T37" s="97" t="str">
        <f>IF($G$37,T$35*('Fin Statement'!S$57&gt;=$F$37),"")</f>
        <v/>
      </c>
      <c r="U37" s="97" t="str">
        <f>IF($G$37,U$35*('Fin Statement'!T$57&gt;=$F$37),"")</f>
        <v/>
      </c>
      <c r="V37" s="97" t="str">
        <f>IF($G$37,V$35*('Fin Statement'!U$57&gt;=$F$37),"")</f>
        <v/>
      </c>
      <c r="W37" s="97" t="str">
        <f>IF($G$37,W$35*('Fin Statement'!V$57&gt;=$F$37),"")</f>
        <v/>
      </c>
      <c r="X37" s="97" t="str">
        <f>IF($G$37,X$35*('Fin Statement'!W$57&gt;=$F$37),"")</f>
        <v/>
      </c>
      <c r="Y37" s="97" t="str">
        <f>IF($G$37,Y$35*('Fin Statement'!X$57&gt;=$F$37),"")</f>
        <v/>
      </c>
      <c r="Z37" s="97" t="str">
        <f>IF($G$37,Z$35*('Fin Statement'!Y$57&gt;=$F$37),"")</f>
        <v/>
      </c>
      <c r="AA37" s="97" t="str">
        <f>IF($G$37,AA$35*('Fin Statement'!Z$57&gt;=$F$37),"")</f>
        <v/>
      </c>
      <c r="AB37" s="97" t="str">
        <f>IF($G$37,AB$35*('Fin Statement'!AA$57&gt;=$F$37),"")</f>
        <v/>
      </c>
      <c r="AC37" s="97" t="str">
        <f>IF($G$37,AC$35*('Fin Statement'!AB$57&gt;=$F$37),"")</f>
        <v/>
      </c>
      <c r="AD37" s="97" t="str">
        <f>IF($G$37,AD$35*('Fin Statement'!AC$57&gt;=$F$37),"")</f>
        <v/>
      </c>
      <c r="AE37" s="97" t="str">
        <f>IF($G$37,AE$35*('Fin Statement'!AD$57&gt;=$F$37),"")</f>
        <v/>
      </c>
      <c r="AF37" s="97" t="str">
        <f>IF($G$37,AF$35*('Fin Statement'!AE$57&gt;=$F$37),"")</f>
        <v/>
      </c>
    </row>
    <row r="38" spans="2:42" x14ac:dyDescent="0.3">
      <c r="D38"/>
      <c r="E38"/>
      <c r="H38"/>
      <c r="I38"/>
      <c r="J38"/>
      <c r="K38"/>
      <c r="L38"/>
      <c r="M38"/>
      <c r="N38"/>
      <c r="O38"/>
      <c r="P38"/>
      <c r="Q38"/>
      <c r="R38"/>
      <c r="S38"/>
      <c r="T38"/>
      <c r="U38"/>
      <c r="V38"/>
      <c r="W38"/>
      <c r="X38"/>
      <c r="Y38"/>
      <c r="Z38"/>
      <c r="AA38"/>
      <c r="AB38"/>
      <c r="AC38"/>
      <c r="AD38"/>
      <c r="AE38"/>
      <c r="AF38"/>
    </row>
    <row r="39" spans="2:42" s="258" customFormat="1" x14ac:dyDescent="0.3">
      <c r="D39" s="195" t="s">
        <v>271</v>
      </c>
      <c r="E39" s="195"/>
      <c r="H39" s="261">
        <f>MIN(H35,H36,H37)</f>
        <v>2135.697705249198</v>
      </c>
      <c r="I39" s="261">
        <f t="shared" ref="I39:AA39" si="13">MIN(I35,I36,I37)</f>
        <v>751.92658763049462</v>
      </c>
      <c r="J39" s="261">
        <f t="shared" si="13"/>
        <v>473.38003767035883</v>
      </c>
      <c r="K39" s="261">
        <f t="shared" si="13"/>
        <v>494.46391174943574</v>
      </c>
      <c r="L39" s="261">
        <f t="shared" si="13"/>
        <v>536.95544719679333</v>
      </c>
      <c r="M39" s="261">
        <f t="shared" si="13"/>
        <v>556.86463940649276</v>
      </c>
      <c r="N39" s="261">
        <f t="shared" si="13"/>
        <v>574.53516142583919</v>
      </c>
      <c r="O39" s="261">
        <f t="shared" si="13"/>
        <v>592.04252079115804</v>
      </c>
      <c r="P39" s="261">
        <f t="shared" si="13"/>
        <v>609.38345424936915</v>
      </c>
      <c r="Q39" s="261">
        <f t="shared" si="13"/>
        <v>626.55463328232997</v>
      </c>
      <c r="R39" s="261">
        <f t="shared" si="13"/>
        <v>673.25993833952157</v>
      </c>
      <c r="S39" s="261">
        <f t="shared" si="13"/>
        <v>722.44898392593552</v>
      </c>
      <c r="T39" s="261">
        <f t="shared" si="13"/>
        <v>771.45788475823861</v>
      </c>
      <c r="U39" s="261">
        <f t="shared" si="13"/>
        <v>820.28303794134865</v>
      </c>
      <c r="V39" s="261">
        <f t="shared" si="13"/>
        <v>868.92076852228183</v>
      </c>
      <c r="W39" s="261">
        <f t="shared" si="13"/>
        <v>910.37691528526875</v>
      </c>
      <c r="X39" s="261">
        <f t="shared" si="13"/>
        <v>784.93172765993745</v>
      </c>
      <c r="Y39" s="261">
        <f t="shared" si="13"/>
        <v>700.47794208577875</v>
      </c>
      <c r="Z39" s="261">
        <f t="shared" si="13"/>
        <v>728.94794255945885</v>
      </c>
      <c r="AA39" s="261">
        <f t="shared" si="13"/>
        <v>757.27163797528976</v>
      </c>
      <c r="AB39" s="261">
        <f>MIN(AB35,AB36,AB37)</f>
        <v>0</v>
      </c>
      <c r="AC39" s="261">
        <f>MIN(AC35,AC36,AC37)</f>
        <v>0</v>
      </c>
      <c r="AD39" s="261">
        <f>MIN(AD35,AD36,AD37)</f>
        <v>0</v>
      </c>
      <c r="AE39" s="261">
        <f>MIN(AE35,AE36,AE37)</f>
        <v>0</v>
      </c>
      <c r="AF39" s="261">
        <f>MIN(AF35,AF36,AF37)</f>
        <v>0</v>
      </c>
    </row>
    <row r="42" spans="2:42" ht="15" thickBot="1" x14ac:dyDescent="0.35">
      <c r="B42" s="104" t="s">
        <v>159</v>
      </c>
      <c r="C42" s="105"/>
      <c r="D42" s="105"/>
      <c r="E42" s="105"/>
      <c r="F42" s="105"/>
      <c r="G42" s="105"/>
      <c r="H42" s="105"/>
      <c r="I42" s="105"/>
      <c r="J42" s="105"/>
      <c r="K42" s="105"/>
      <c r="L42" s="105"/>
      <c r="M42" s="105"/>
      <c r="N42" s="105"/>
      <c r="O42" s="105"/>
      <c r="P42" s="105"/>
      <c r="Q42" s="105"/>
      <c r="R42" s="105"/>
      <c r="S42" s="105"/>
      <c r="T42" s="105"/>
      <c r="U42" s="105"/>
      <c r="V42" s="105"/>
      <c r="W42" s="105"/>
      <c r="X42" s="105"/>
      <c r="Y42" s="105"/>
      <c r="Z42" s="105"/>
      <c r="AA42" s="105"/>
      <c r="AB42" s="105"/>
      <c r="AC42" s="105"/>
      <c r="AD42" s="105"/>
      <c r="AE42" s="105"/>
      <c r="AF42" s="105"/>
    </row>
    <row r="43" spans="2:42" x14ac:dyDescent="0.3">
      <c r="G43" s="253" t="s">
        <v>272</v>
      </c>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row>
    <row r="44" spans="2:42" x14ac:dyDescent="0.3">
      <c r="D44" s="72" t="s">
        <v>273</v>
      </c>
      <c r="E44" s="107" t="s">
        <v>230</v>
      </c>
      <c r="F44" s="282">
        <v>0</v>
      </c>
      <c r="G44" s="254" t="s">
        <v>274</v>
      </c>
      <c r="H44" s="78">
        <f>(H2-'Fin Inputs'!$F$13)*(H2&gt;'Fin Inputs'!$F$13)*(H2&lt;='Fin Inputs'!$F$13+$F$45)</f>
        <v>0</v>
      </c>
      <c r="I44" s="78">
        <f>(I2-'Fin Inputs'!$F$13)*(I2&gt;'Fin Inputs'!$F$13)*(I2&lt;='Fin Inputs'!$F$13+$F$45)</f>
        <v>0</v>
      </c>
      <c r="J44" s="78">
        <f>(J2-'Fin Inputs'!$F$13)*(J2&gt;'Fin Inputs'!$F$13)*(J2&lt;='Fin Inputs'!$F$13+$F$45)</f>
        <v>0</v>
      </c>
      <c r="K44" s="78">
        <f>(K2-'Fin Inputs'!$F$13)*(K2&gt;'Fin Inputs'!$F$13)*(K2&lt;='Fin Inputs'!$F$13+$F$45)</f>
        <v>0</v>
      </c>
      <c r="L44" s="78">
        <f>(L2-'Fin Inputs'!$F$13)*(L2&gt;'Fin Inputs'!$F$13)*(L2&lt;='Fin Inputs'!$F$13+$F$45)</f>
        <v>0</v>
      </c>
      <c r="M44" s="78">
        <f>(M2-'Fin Inputs'!$F$13)*(M2&gt;'Fin Inputs'!$F$13)*(M2&lt;='Fin Inputs'!$F$13+$F$45)</f>
        <v>0</v>
      </c>
      <c r="N44" s="78">
        <f>(N2-'Fin Inputs'!$F$13)*(N2&gt;'Fin Inputs'!$F$13)*(N2&lt;='Fin Inputs'!$F$13+$F$45)</f>
        <v>0</v>
      </c>
      <c r="O44" s="78">
        <f>(O2-'Fin Inputs'!$F$13)*(O2&gt;'Fin Inputs'!$F$13)*(O2&lt;='Fin Inputs'!$F$13+$F$45)</f>
        <v>0</v>
      </c>
      <c r="P44" s="78">
        <f>(P2-'Fin Inputs'!$F$13)*(P2&gt;'Fin Inputs'!$F$13)*(P2&lt;='Fin Inputs'!$F$13+$F$45)</f>
        <v>0</v>
      </c>
      <c r="Q44" s="78">
        <f>(Q2-'Fin Inputs'!$F$13)*(Q2&gt;'Fin Inputs'!$F$13)*(Q2&lt;='Fin Inputs'!$F$13+$F$45)</f>
        <v>0</v>
      </c>
      <c r="R44" s="78">
        <f>(R2-'Fin Inputs'!$F$13)*(R2&gt;'Fin Inputs'!$F$13)*(R2&lt;='Fin Inputs'!$F$13+$F$45)</f>
        <v>0</v>
      </c>
      <c r="S44" s="78">
        <f>(S2-'Fin Inputs'!$F$13)*(S2&gt;'Fin Inputs'!$F$13)*(S2&lt;='Fin Inputs'!$F$13+$F$45)</f>
        <v>0</v>
      </c>
      <c r="T44" s="78">
        <f>(T2-'Fin Inputs'!$F$13)*(T2&gt;'Fin Inputs'!$F$13)*(T2&lt;='Fin Inputs'!$F$13+$F$45)</f>
        <v>0</v>
      </c>
      <c r="U44" s="78">
        <f>(U2-'Fin Inputs'!$F$13)*(U2&gt;'Fin Inputs'!$F$13)*(U2&lt;='Fin Inputs'!$F$13+$F$45)</f>
        <v>0</v>
      </c>
      <c r="V44" s="78">
        <f>(V2-'Fin Inputs'!$F$13)*(V2&gt;'Fin Inputs'!$F$13)*(V2&lt;='Fin Inputs'!$F$13+$F$45)</f>
        <v>0</v>
      </c>
      <c r="W44" s="78">
        <f>(W2-'Fin Inputs'!$F$13)*(W2&gt;'Fin Inputs'!$F$13)*(W2&lt;='Fin Inputs'!$F$13+$F$45)</f>
        <v>0</v>
      </c>
      <c r="X44" s="78">
        <f>(X2-'Fin Inputs'!$F$13)*(X2&gt;'Fin Inputs'!$F$13)*(X2&lt;='Fin Inputs'!$F$13+$F$45)</f>
        <v>0</v>
      </c>
      <c r="Y44" s="78">
        <f>(Y2-'Fin Inputs'!$F$13)*(Y2&gt;'Fin Inputs'!$F$13)*(Y2&lt;='Fin Inputs'!$F$13+$F$45)</f>
        <v>0</v>
      </c>
      <c r="Z44" s="78">
        <f>(Z2-'Fin Inputs'!$F$13)*(Z2&gt;'Fin Inputs'!$F$13)*(Z2&lt;='Fin Inputs'!$F$13+$F$45)</f>
        <v>0</v>
      </c>
      <c r="AA44" s="78">
        <f>(AA2-'Fin Inputs'!$F$13)*(AA2&gt;'Fin Inputs'!$F$13)*(AA2&lt;='Fin Inputs'!$F$13+$F$45)</f>
        <v>0</v>
      </c>
      <c r="AB44" s="78">
        <f>(AB2-'Fin Inputs'!$F$13)*(AB2&gt;'Fin Inputs'!$F$13)*(AB2&lt;='Fin Inputs'!$F$13+$F$45)</f>
        <v>1</v>
      </c>
      <c r="AC44" s="78">
        <f>(AC2-'Fin Inputs'!$F$13)*(AC2&gt;'Fin Inputs'!$F$13)*(AC2&lt;='Fin Inputs'!$F$13+$F$45)</f>
        <v>2</v>
      </c>
      <c r="AD44" s="78">
        <f>(AD2-'Fin Inputs'!$F$13)*(AD2&gt;'Fin Inputs'!$F$13)*(AD2&lt;='Fin Inputs'!$F$13+$F$45)</f>
        <v>3</v>
      </c>
      <c r="AE44" s="78">
        <f>(AE2-'Fin Inputs'!$F$13)*(AE2&gt;'Fin Inputs'!$F$13)*(AE2&lt;='Fin Inputs'!$F$13+$F$45)</f>
        <v>4</v>
      </c>
      <c r="AF44" s="78">
        <f>(AF2-'Fin Inputs'!$F$13)*(AF2&gt;'Fin Inputs'!$F$13)*(AF2&lt;='Fin Inputs'!$F$13+$F$45)</f>
        <v>5</v>
      </c>
      <c r="AG44" s="78">
        <f>(AG2-'Fin Inputs'!$F$13)*(AG2&gt;'Fin Inputs'!$F$13)*(AG2&lt;='Fin Inputs'!$F$13+$F$45)</f>
        <v>6</v>
      </c>
      <c r="AH44" s="78">
        <f>(AH2-'Fin Inputs'!$F$13)*(AH2&gt;'Fin Inputs'!$F$13)*(AH2&lt;='Fin Inputs'!$F$13+$F$45)</f>
        <v>7</v>
      </c>
      <c r="AI44" s="78">
        <f>(AI2-'Fin Inputs'!$F$13)*(AI2&gt;'Fin Inputs'!$F$13)*(AI2&lt;='Fin Inputs'!$F$13+$F$45)</f>
        <v>8</v>
      </c>
      <c r="AJ44" s="78">
        <f>(AJ2-'Fin Inputs'!$F$13)*(AJ2&gt;'Fin Inputs'!$F$13)*(AJ2&lt;='Fin Inputs'!$F$13+$F$45)</f>
        <v>9</v>
      </c>
      <c r="AK44" s="78">
        <f>(AK2-'Fin Inputs'!$F$13)*(AK2&gt;'Fin Inputs'!$F$13)*(AK2&lt;='Fin Inputs'!$F$13+$F$45)</f>
        <v>10</v>
      </c>
      <c r="AL44" s="78">
        <f>(AL2-'Fin Inputs'!$F$13)*(AL2&gt;'Fin Inputs'!$F$13)*(AL2&lt;='Fin Inputs'!$F$13+$F$45)</f>
        <v>0</v>
      </c>
      <c r="AM44" s="78">
        <f>(AM2-'Fin Inputs'!$F$13)*(AM2&gt;'Fin Inputs'!$F$13)*(AM2&lt;='Fin Inputs'!$F$13+$F$45)</f>
        <v>0</v>
      </c>
      <c r="AN44" s="78">
        <f>(AN2-'Fin Inputs'!$F$13)*(AN2&gt;'Fin Inputs'!$F$13)*(AN2&lt;='Fin Inputs'!$F$13+$F$45)</f>
        <v>0</v>
      </c>
      <c r="AO44" s="78">
        <f>(AO2-'Fin Inputs'!$F$13)*(AO2&gt;'Fin Inputs'!$F$13)*(AO2&lt;='Fin Inputs'!$F$13+$F$45)</f>
        <v>0</v>
      </c>
      <c r="AP44" s="78">
        <f>(AP2-'Fin Inputs'!$F$13)*(AP2&gt;'Fin Inputs'!$F$13)*(AP2&lt;='Fin Inputs'!$F$13+$F$45)</f>
        <v>0</v>
      </c>
    </row>
    <row r="45" spans="2:42" x14ac:dyDescent="0.3">
      <c r="D45" s="72" t="s">
        <v>275</v>
      </c>
      <c r="E45" s="107" t="s">
        <v>22</v>
      </c>
      <c r="F45" s="108">
        <f>MIN('Fin Inputs'!$F$25,10)</f>
        <v>10</v>
      </c>
      <c r="G45" s="254"/>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8"/>
      <c r="AM45" s="78"/>
      <c r="AN45" s="78"/>
      <c r="AO45" s="78"/>
      <c r="AP45" s="78"/>
    </row>
    <row r="46" spans="2:42" x14ac:dyDescent="0.3">
      <c r="D46" s="72" t="s">
        <v>276</v>
      </c>
      <c r="E46" s="107"/>
      <c r="F46" s="109">
        <f>INDEX($H$16:$AF$16,1, investmentTerm)</f>
        <v>757.27163797528976</v>
      </c>
      <c r="G46" s="254" t="s">
        <v>277</v>
      </c>
      <c r="H46" s="78">
        <f>IF(H44&gt;0, $F$46*(1.02)^H$44, 0)*$F$44</f>
        <v>0</v>
      </c>
      <c r="I46" s="78">
        <f t="shared" ref="I46:AP46" si="14">IF(I44&gt;0, $F$46*(1.02)^I$44, 0)*$F$44</f>
        <v>0</v>
      </c>
      <c r="J46" s="78">
        <f t="shared" si="14"/>
        <v>0</v>
      </c>
      <c r="K46" s="78">
        <f t="shared" si="14"/>
        <v>0</v>
      </c>
      <c r="L46" s="78">
        <f t="shared" si="14"/>
        <v>0</v>
      </c>
      <c r="M46" s="78">
        <f t="shared" si="14"/>
        <v>0</v>
      </c>
      <c r="N46" s="78">
        <f t="shared" si="14"/>
        <v>0</v>
      </c>
      <c r="O46" s="78">
        <f t="shared" si="14"/>
        <v>0</v>
      </c>
      <c r="P46" s="78">
        <f t="shared" si="14"/>
        <v>0</v>
      </c>
      <c r="Q46" s="78">
        <f t="shared" si="14"/>
        <v>0</v>
      </c>
      <c r="R46" s="78">
        <f t="shared" si="14"/>
        <v>0</v>
      </c>
      <c r="S46" s="78">
        <f t="shared" si="14"/>
        <v>0</v>
      </c>
      <c r="T46" s="78">
        <f t="shared" si="14"/>
        <v>0</v>
      </c>
      <c r="U46" s="78">
        <f t="shared" si="14"/>
        <v>0</v>
      </c>
      <c r="V46" s="78">
        <f t="shared" si="14"/>
        <v>0</v>
      </c>
      <c r="W46" s="78">
        <f t="shared" si="14"/>
        <v>0</v>
      </c>
      <c r="X46" s="78">
        <f t="shared" si="14"/>
        <v>0</v>
      </c>
      <c r="Y46" s="78">
        <f t="shared" si="14"/>
        <v>0</v>
      </c>
      <c r="Z46" s="78">
        <f t="shared" si="14"/>
        <v>0</v>
      </c>
      <c r="AA46" s="78">
        <f t="shared" si="14"/>
        <v>0</v>
      </c>
      <c r="AB46" s="78">
        <f t="shared" si="14"/>
        <v>0</v>
      </c>
      <c r="AC46" s="78">
        <f t="shared" si="14"/>
        <v>0</v>
      </c>
      <c r="AD46" s="78">
        <f t="shared" si="14"/>
        <v>0</v>
      </c>
      <c r="AE46" s="78">
        <f t="shared" si="14"/>
        <v>0</v>
      </c>
      <c r="AF46" s="78">
        <f t="shared" si="14"/>
        <v>0</v>
      </c>
      <c r="AG46" s="78">
        <f t="shared" si="14"/>
        <v>0</v>
      </c>
      <c r="AH46" s="78">
        <f t="shared" si="14"/>
        <v>0</v>
      </c>
      <c r="AI46" s="78">
        <f t="shared" si="14"/>
        <v>0</v>
      </c>
      <c r="AJ46" s="78">
        <f t="shared" si="14"/>
        <v>0</v>
      </c>
      <c r="AK46" s="78">
        <f t="shared" si="14"/>
        <v>0</v>
      </c>
      <c r="AL46" s="78">
        <f t="shared" si="14"/>
        <v>0</v>
      </c>
      <c r="AM46" s="78">
        <f t="shared" si="14"/>
        <v>0</v>
      </c>
      <c r="AN46" s="78">
        <f t="shared" si="14"/>
        <v>0</v>
      </c>
      <c r="AO46" s="78">
        <f t="shared" si="14"/>
        <v>0</v>
      </c>
      <c r="AP46" s="78">
        <f t="shared" si="14"/>
        <v>0</v>
      </c>
    </row>
    <row r="47" spans="2:42" x14ac:dyDescent="0.3">
      <c r="D47" s="72" t="s">
        <v>278</v>
      </c>
      <c r="F47" s="283">
        <v>0.2</v>
      </c>
      <c r="G47" s="254" t="s">
        <v>279</v>
      </c>
      <c r="H47" s="110">
        <f t="shared" ref="H47:AP47" si="15">IF(H44&gt;0, 1/((1+$F$47)^H$44), 0)</f>
        <v>0</v>
      </c>
      <c r="I47" s="110">
        <f t="shared" si="15"/>
        <v>0</v>
      </c>
      <c r="J47" s="110">
        <f t="shared" si="15"/>
        <v>0</v>
      </c>
      <c r="K47" s="110">
        <f t="shared" si="15"/>
        <v>0</v>
      </c>
      <c r="L47" s="110">
        <f t="shared" si="15"/>
        <v>0</v>
      </c>
      <c r="M47" s="110">
        <f t="shared" si="15"/>
        <v>0</v>
      </c>
      <c r="N47" s="110">
        <f t="shared" si="15"/>
        <v>0</v>
      </c>
      <c r="O47" s="110">
        <f t="shared" si="15"/>
        <v>0</v>
      </c>
      <c r="P47" s="110">
        <f t="shared" si="15"/>
        <v>0</v>
      </c>
      <c r="Q47" s="110">
        <f t="shared" si="15"/>
        <v>0</v>
      </c>
      <c r="R47" s="110">
        <f t="shared" si="15"/>
        <v>0</v>
      </c>
      <c r="S47" s="110">
        <f t="shared" si="15"/>
        <v>0</v>
      </c>
      <c r="T47" s="110">
        <f t="shared" si="15"/>
        <v>0</v>
      </c>
      <c r="U47" s="110">
        <f t="shared" si="15"/>
        <v>0</v>
      </c>
      <c r="V47" s="110">
        <f t="shared" si="15"/>
        <v>0</v>
      </c>
      <c r="W47" s="110">
        <f t="shared" si="15"/>
        <v>0</v>
      </c>
      <c r="X47" s="110">
        <f t="shared" si="15"/>
        <v>0</v>
      </c>
      <c r="Y47" s="110">
        <f t="shared" si="15"/>
        <v>0</v>
      </c>
      <c r="Z47" s="110">
        <f t="shared" si="15"/>
        <v>0</v>
      </c>
      <c r="AA47" s="110">
        <f t="shared" si="15"/>
        <v>0</v>
      </c>
      <c r="AB47" s="110">
        <f t="shared" si="15"/>
        <v>0.83333333333333337</v>
      </c>
      <c r="AC47" s="110">
        <f t="shared" si="15"/>
        <v>0.69444444444444442</v>
      </c>
      <c r="AD47" s="110">
        <f t="shared" si="15"/>
        <v>0.57870370370370372</v>
      </c>
      <c r="AE47" s="110">
        <f t="shared" si="15"/>
        <v>0.48225308641975312</v>
      </c>
      <c r="AF47" s="110">
        <f t="shared" si="15"/>
        <v>0.4018775720164609</v>
      </c>
      <c r="AG47" s="110">
        <f t="shared" si="15"/>
        <v>0.33489797668038412</v>
      </c>
      <c r="AH47" s="110">
        <f t="shared" si="15"/>
        <v>0.27908164723365342</v>
      </c>
      <c r="AI47" s="110">
        <f t="shared" si="15"/>
        <v>0.23256803936137788</v>
      </c>
      <c r="AJ47" s="110">
        <f t="shared" si="15"/>
        <v>0.1938066994678149</v>
      </c>
      <c r="AK47" s="110">
        <f t="shared" si="15"/>
        <v>0.16150558288984573</v>
      </c>
      <c r="AL47" s="110">
        <f t="shared" si="15"/>
        <v>0</v>
      </c>
      <c r="AM47" s="110">
        <f t="shared" si="15"/>
        <v>0</v>
      </c>
      <c r="AN47" s="110">
        <f t="shared" si="15"/>
        <v>0</v>
      </c>
      <c r="AO47" s="110">
        <f t="shared" si="15"/>
        <v>0</v>
      </c>
      <c r="AP47" s="110">
        <f t="shared" si="15"/>
        <v>0</v>
      </c>
    </row>
    <row r="48" spans="2:42" x14ac:dyDescent="0.3">
      <c r="D48" s="100" t="s">
        <v>159</v>
      </c>
      <c r="E48" s="111"/>
      <c r="F48" s="112">
        <f>SUMPRODUCT($H$46:$AP$46,$H$47:$AP$47)</f>
        <v>0</v>
      </c>
      <c r="G48" s="113"/>
    </row>
    <row r="49" spans="4:7" x14ac:dyDescent="0.3">
      <c r="D49" s="114" t="s">
        <v>280</v>
      </c>
      <c r="E49" s="115"/>
      <c r="F49" s="115">
        <f>INDEX('Fin Statement'!$G$10:$AE$10,1,investmentTerm)</f>
        <v>1074.9965836315664</v>
      </c>
      <c r="G49" s="116"/>
    </row>
    <row r="50" spans="4:7" x14ac:dyDescent="0.3">
      <c r="D50" s="117" t="s">
        <v>281</v>
      </c>
      <c r="E50" s="118"/>
      <c r="F50" s="119">
        <f>F48/F49</f>
        <v>0</v>
      </c>
      <c r="G50" s="120" t="s">
        <v>282</v>
      </c>
    </row>
    <row r="51" spans="4:7" x14ac:dyDescent="0.3">
      <c r="D51" s="114" t="s">
        <v>283</v>
      </c>
      <c r="E51" s="115"/>
      <c r="F51" s="115">
        <f>'Fin Inputs'!M20+'Fin Inputs'!M23+'Fin Inputs'!M33</f>
        <v>14041</v>
      </c>
      <c r="G51" s="121"/>
    </row>
    <row r="52" spans="4:7" x14ac:dyDescent="0.3">
      <c r="D52" s="117" t="s">
        <v>284</v>
      </c>
      <c r="E52" s="118"/>
      <c r="F52" s="122">
        <f>F48/F51</f>
        <v>0</v>
      </c>
      <c r="G52" s="120"/>
    </row>
  </sheetData>
  <sheetProtection algorithmName="SHA-512" hashValue="wnapXVH3SxMa0YypX0shvJIjUYGbbldcG30lnBwBxkl3n/YdlSKbshdH0uHzC7frfqRbLZEVaN4gzIzF3CqubQ==" saltValue="XxBg5uHyY0B7ETzrPTSqDw==" spinCount="100000" sheet="1" objects="1" scenarios="1" selectLockedCells="1"/>
  <mergeCells count="1">
    <mergeCell ref="A1:AP1"/>
  </mergeCells>
  <pageMargins left="0.7" right="0.7" top="0.75" bottom="0.75" header="0.3" footer="0.3"/>
  <pageSetup paperSize="9" scale="22" firstPageNumber="0"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69543-24C8-4607-8A76-E806B3F6D3EA}">
  <sheetPr codeName="Sheet16">
    <tabColor theme="9" tint="0.59999389629810485"/>
    <pageSetUpPr fitToPage="1"/>
  </sheetPr>
  <dimension ref="A1:AF59"/>
  <sheetViews>
    <sheetView zoomScale="80" zoomScaleNormal="80" zoomScaleSheetLayoutView="40" zoomScalePageLayoutView="150" workbookViewId="0">
      <pane xSplit="4" ySplit="2" topLeftCell="E3" activePane="bottomRight" state="frozenSplit"/>
      <selection activeCell="M40" sqref="M40:M44"/>
      <selection pane="topRight" activeCell="M40" sqref="M40:M44"/>
      <selection pane="bottomLeft" activeCell="M40" sqref="M40:M44"/>
      <selection pane="bottomRight" activeCell="M40" sqref="M40:M44"/>
    </sheetView>
  </sheetViews>
  <sheetFormatPr defaultColWidth="0" defaultRowHeight="14.4" x14ac:dyDescent="0.3"/>
  <cols>
    <col min="1" max="1" width="3.44140625" customWidth="1"/>
    <col min="2" max="3" width="3" customWidth="1"/>
    <col min="4" max="4" width="45.88671875" customWidth="1"/>
    <col min="5" max="5" width="12.5546875" bestFit="1" customWidth="1"/>
    <col min="6" max="10" width="15.5546875" bestFit="1" customWidth="1"/>
    <col min="11" max="31" width="14.44140625" bestFit="1" customWidth="1"/>
    <col min="32" max="32" width="10.5546875" customWidth="1"/>
    <col min="33" max="16384" width="10.5546875" hidden="1"/>
  </cols>
  <sheetData>
    <row r="1" spans="1:31" s="770" customFormat="1" ht="22.2" customHeight="1" x14ac:dyDescent="0.45">
      <c r="A1" s="769" t="s">
        <v>674</v>
      </c>
    </row>
    <row r="2" spans="1:31" ht="15.6" x14ac:dyDescent="0.3">
      <c r="A2" s="70" t="str">
        <f>'Fin Inputs'!$A$2</f>
        <v>Storage Financial Analysis Model</v>
      </c>
      <c r="F2" s="123">
        <v>0</v>
      </c>
      <c r="G2" s="771">
        <f>F2+1</f>
        <v>1</v>
      </c>
      <c r="H2" s="771">
        <f t="shared" ref="H2:Z2" si="0">G2+1</f>
        <v>2</v>
      </c>
      <c r="I2" s="771">
        <f t="shared" si="0"/>
        <v>3</v>
      </c>
      <c r="J2" s="771">
        <f t="shared" si="0"/>
        <v>4</v>
      </c>
      <c r="K2" s="771">
        <f t="shared" si="0"/>
        <v>5</v>
      </c>
      <c r="L2" s="771">
        <f t="shared" si="0"/>
        <v>6</v>
      </c>
      <c r="M2" s="771">
        <f t="shared" si="0"/>
        <v>7</v>
      </c>
      <c r="N2" s="771">
        <f t="shared" si="0"/>
        <v>8</v>
      </c>
      <c r="O2" s="771">
        <f t="shared" si="0"/>
        <v>9</v>
      </c>
      <c r="P2" s="771">
        <f t="shared" si="0"/>
        <v>10</v>
      </c>
      <c r="Q2" s="771">
        <f t="shared" si="0"/>
        <v>11</v>
      </c>
      <c r="R2" s="771">
        <f t="shared" si="0"/>
        <v>12</v>
      </c>
      <c r="S2" s="771">
        <f t="shared" si="0"/>
        <v>13</v>
      </c>
      <c r="T2" s="771">
        <f t="shared" si="0"/>
        <v>14</v>
      </c>
      <c r="U2" s="771">
        <f t="shared" si="0"/>
        <v>15</v>
      </c>
      <c r="V2" s="771">
        <f t="shared" si="0"/>
        <v>16</v>
      </c>
      <c r="W2" s="771">
        <f t="shared" si="0"/>
        <v>17</v>
      </c>
      <c r="X2" s="771">
        <f t="shared" si="0"/>
        <v>18</v>
      </c>
      <c r="Y2" s="771">
        <f t="shared" si="0"/>
        <v>19</v>
      </c>
      <c r="Z2" s="771">
        <f t="shared" si="0"/>
        <v>20</v>
      </c>
      <c r="AA2" s="771">
        <f>Z2+1</f>
        <v>21</v>
      </c>
      <c r="AB2" s="771">
        <f>AA2+1</f>
        <v>22</v>
      </c>
      <c r="AC2" s="771">
        <f>AB2+1</f>
        <v>23</v>
      </c>
      <c r="AD2" s="771">
        <f>AC2+1</f>
        <v>24</v>
      </c>
      <c r="AE2" s="771">
        <f>AD2+1</f>
        <v>25</v>
      </c>
    </row>
    <row r="3" spans="1:31" x14ac:dyDescent="0.3">
      <c r="A3" s="74"/>
      <c r="C3" s="74"/>
      <c r="F3" s="78">
        <f>(F2&lt;='Fin Inputs'!$F$13)*1</f>
        <v>1</v>
      </c>
      <c r="G3" s="78">
        <f>(G2&lt;='Fin Inputs'!$F$13)*1</f>
        <v>1</v>
      </c>
      <c r="H3" s="78">
        <f>(H2&lt;='Fin Inputs'!$F$13)*1</f>
        <v>1</v>
      </c>
      <c r="I3" s="78">
        <f>(I2&lt;='Fin Inputs'!$F$13)*1</f>
        <v>1</v>
      </c>
      <c r="J3" s="78">
        <f>(J2&lt;='Fin Inputs'!$F$13)*1</f>
        <v>1</v>
      </c>
      <c r="K3" s="78">
        <f>(K2&lt;='Fin Inputs'!$F$13)*1</f>
        <v>1</v>
      </c>
      <c r="L3" s="78">
        <f>(L2&lt;='Fin Inputs'!$F$13)*1</f>
        <v>1</v>
      </c>
      <c r="M3" s="78">
        <f>(M2&lt;='Fin Inputs'!$F$13)*1</f>
        <v>1</v>
      </c>
      <c r="N3" s="78">
        <f>(N2&lt;='Fin Inputs'!$F$13)*1</f>
        <v>1</v>
      </c>
      <c r="O3" s="78">
        <f>(O2&lt;='Fin Inputs'!$F$13)*1</f>
        <v>1</v>
      </c>
      <c r="P3" s="78">
        <f>(P2&lt;='Fin Inputs'!$F$13)*1</f>
        <v>1</v>
      </c>
      <c r="Q3" s="78">
        <f>(Q2&lt;='Fin Inputs'!$F$13)*1</f>
        <v>1</v>
      </c>
      <c r="R3" s="78">
        <f>(R2&lt;='Fin Inputs'!$F$13)*1</f>
        <v>1</v>
      </c>
      <c r="S3" s="78">
        <f>(S2&lt;='Fin Inputs'!$F$13)*1</f>
        <v>1</v>
      </c>
      <c r="T3" s="78">
        <f>(T2&lt;='Fin Inputs'!$F$13)*1</f>
        <v>1</v>
      </c>
      <c r="U3" s="78">
        <f>(U2&lt;='Fin Inputs'!$F$13)*1</f>
        <v>1</v>
      </c>
      <c r="V3" s="78">
        <f>(V2&lt;='Fin Inputs'!$F$13)*1</f>
        <v>1</v>
      </c>
      <c r="W3" s="78">
        <f>(W2&lt;='Fin Inputs'!$F$13)*1</f>
        <v>1</v>
      </c>
      <c r="X3" s="78">
        <f>(X2&lt;='Fin Inputs'!$F$13)*1</f>
        <v>1</v>
      </c>
      <c r="Y3" s="78">
        <f>(Y2&lt;='Fin Inputs'!$F$13)*1</f>
        <v>1</v>
      </c>
      <c r="Z3" s="78">
        <f>(Z2&lt;='Fin Inputs'!$F$13)*1</f>
        <v>1</v>
      </c>
      <c r="AA3" s="78">
        <f>(AA2&lt;='Fin Inputs'!$F$13)*1</f>
        <v>0</v>
      </c>
      <c r="AB3" s="78">
        <f>(AB2&lt;='Fin Inputs'!$F$13)*1</f>
        <v>0</v>
      </c>
      <c r="AC3" s="78">
        <f>(AC2&lt;='Fin Inputs'!$F$13)*1</f>
        <v>0</v>
      </c>
      <c r="AD3" s="78">
        <f>(AD2&lt;='Fin Inputs'!$F$13)*1</f>
        <v>0</v>
      </c>
      <c r="AE3" s="78">
        <f>(AE2&lt;='Fin Inputs'!$F$13)*1</f>
        <v>0</v>
      </c>
    </row>
    <row r="4" spans="1:31" x14ac:dyDescent="0.3">
      <c r="A4" s="77" t="str">
        <f>'Fin Inputs'!$A$4</f>
        <v>all monetary amounts are in nominal USD</v>
      </c>
      <c r="C4" s="772"/>
      <c r="F4" s="32">
        <f>G4-1</f>
        <v>2027</v>
      </c>
      <c r="G4" s="773">
        <f>YEAR('Fin Inputs'!F12)</f>
        <v>2028</v>
      </c>
      <c r="H4" s="2">
        <f t="shared" ref="H4:Z4" si="1">G4+1</f>
        <v>2029</v>
      </c>
      <c r="I4" s="2">
        <f t="shared" si="1"/>
        <v>2030</v>
      </c>
      <c r="J4" s="2">
        <f t="shared" si="1"/>
        <v>2031</v>
      </c>
      <c r="K4" s="2">
        <f t="shared" si="1"/>
        <v>2032</v>
      </c>
      <c r="L4" s="2">
        <f t="shared" si="1"/>
        <v>2033</v>
      </c>
      <c r="M4" s="2">
        <f t="shared" si="1"/>
        <v>2034</v>
      </c>
      <c r="N4" s="2">
        <f t="shared" si="1"/>
        <v>2035</v>
      </c>
      <c r="O4" s="2">
        <f t="shared" si="1"/>
        <v>2036</v>
      </c>
      <c r="P4" s="2">
        <f t="shared" si="1"/>
        <v>2037</v>
      </c>
      <c r="Q4" s="2">
        <f t="shared" si="1"/>
        <v>2038</v>
      </c>
      <c r="R4" s="2">
        <f t="shared" si="1"/>
        <v>2039</v>
      </c>
      <c r="S4" s="2">
        <f t="shared" si="1"/>
        <v>2040</v>
      </c>
      <c r="T4" s="2">
        <f t="shared" si="1"/>
        <v>2041</v>
      </c>
      <c r="U4" s="2">
        <f t="shared" si="1"/>
        <v>2042</v>
      </c>
      <c r="V4" s="2">
        <f t="shared" si="1"/>
        <v>2043</v>
      </c>
      <c r="W4" s="2">
        <f t="shared" si="1"/>
        <v>2044</v>
      </c>
      <c r="X4" s="2">
        <f t="shared" si="1"/>
        <v>2045</v>
      </c>
      <c r="Y4" s="2">
        <f t="shared" si="1"/>
        <v>2046</v>
      </c>
      <c r="Z4" s="2">
        <f t="shared" si="1"/>
        <v>2047</v>
      </c>
      <c r="AA4" s="2">
        <f>Z4+1</f>
        <v>2048</v>
      </c>
      <c r="AB4" s="2">
        <f>AA4+1</f>
        <v>2049</v>
      </c>
      <c r="AC4" s="2">
        <f>AB4+1</f>
        <v>2050</v>
      </c>
      <c r="AD4" s="2">
        <f>AC4+1</f>
        <v>2051</v>
      </c>
      <c r="AE4" s="2">
        <f>AD4+1</f>
        <v>2052</v>
      </c>
    </row>
    <row r="5" spans="1:31" x14ac:dyDescent="0.3">
      <c r="B5" s="772"/>
      <c r="C5" s="772"/>
      <c r="D5" t="s">
        <v>285</v>
      </c>
      <c r="E5" s="774"/>
      <c r="F5">
        <v>1</v>
      </c>
      <c r="G5" s="775">
        <f t="shared" ref="G5:AE5" si="2">(F5/(1+WACC))*G3</f>
        <v>0.88888888888888884</v>
      </c>
      <c r="H5" s="775">
        <f t="shared" si="2"/>
        <v>0.79012345679012341</v>
      </c>
      <c r="I5" s="775">
        <f t="shared" si="2"/>
        <v>0.7023319615912208</v>
      </c>
      <c r="J5" s="775">
        <f t="shared" si="2"/>
        <v>0.62429507696997399</v>
      </c>
      <c r="K5" s="775">
        <f t="shared" si="2"/>
        <v>0.5549289573066436</v>
      </c>
      <c r="L5" s="775">
        <f t="shared" si="2"/>
        <v>0.49327018427257208</v>
      </c>
      <c r="M5" s="775">
        <f t="shared" si="2"/>
        <v>0.43846238602006404</v>
      </c>
      <c r="N5" s="775">
        <f t="shared" si="2"/>
        <v>0.38974434312894579</v>
      </c>
      <c r="O5" s="775">
        <f t="shared" si="2"/>
        <v>0.34643941611461848</v>
      </c>
      <c r="P5" s="775">
        <f t="shared" si="2"/>
        <v>0.30794614765743866</v>
      </c>
      <c r="Q5" s="775">
        <f t="shared" si="2"/>
        <v>0.27372990902883437</v>
      </c>
      <c r="R5" s="775">
        <f t="shared" si="2"/>
        <v>0.24331547469229722</v>
      </c>
      <c r="S5" s="775">
        <f t="shared" si="2"/>
        <v>0.21628042194870864</v>
      </c>
      <c r="T5" s="775">
        <f t="shared" si="2"/>
        <v>0.19224926395440767</v>
      </c>
      <c r="U5" s="775">
        <f t="shared" si="2"/>
        <v>0.17088823462614014</v>
      </c>
      <c r="V5" s="775">
        <f t="shared" si="2"/>
        <v>0.15190065300101346</v>
      </c>
      <c r="W5" s="775">
        <f t="shared" si="2"/>
        <v>0.13502280266756753</v>
      </c>
      <c r="X5" s="775">
        <f t="shared" si="2"/>
        <v>0.1200202690378378</v>
      </c>
      <c r="Y5" s="775">
        <f t="shared" si="2"/>
        <v>0.10668468358918916</v>
      </c>
      <c r="Z5" s="775">
        <f t="shared" si="2"/>
        <v>9.4830829857057028E-2</v>
      </c>
      <c r="AA5" s="775">
        <f t="shared" si="2"/>
        <v>0</v>
      </c>
      <c r="AB5" s="775">
        <f t="shared" si="2"/>
        <v>0</v>
      </c>
      <c r="AC5" s="775">
        <f t="shared" si="2"/>
        <v>0</v>
      </c>
      <c r="AD5" s="775">
        <f t="shared" si="2"/>
        <v>0</v>
      </c>
      <c r="AE5" s="775">
        <f t="shared" si="2"/>
        <v>0</v>
      </c>
    </row>
    <row r="6" spans="1:31" ht="15" thickBot="1" x14ac:dyDescent="0.35">
      <c r="B6" s="776" t="s">
        <v>286</v>
      </c>
      <c r="C6" s="776"/>
      <c r="D6" s="124"/>
      <c r="E6" s="124"/>
      <c r="F6" s="777"/>
      <c r="G6" s="778"/>
      <c r="H6" s="777"/>
      <c r="I6" s="777"/>
      <c r="J6" s="777"/>
      <c r="K6" s="777"/>
      <c r="L6" s="777"/>
      <c r="M6" s="777"/>
      <c r="N6" s="777"/>
      <c r="O6" s="777"/>
      <c r="P6" s="777"/>
      <c r="Q6" s="777"/>
      <c r="R6" s="777"/>
      <c r="S6" s="777"/>
      <c r="T6" s="777"/>
      <c r="U6" s="777"/>
      <c r="V6" s="777"/>
      <c r="W6" s="777"/>
      <c r="X6" s="777"/>
      <c r="Y6" s="777"/>
      <c r="Z6" s="777"/>
      <c r="AA6" s="777"/>
      <c r="AB6" s="777"/>
      <c r="AC6" s="777"/>
      <c r="AD6" s="777"/>
      <c r="AE6" s="777"/>
    </row>
    <row r="7" spans="1:31" x14ac:dyDescent="0.3">
      <c r="A7" s="6" t="s">
        <v>287</v>
      </c>
      <c r="B7" s="32"/>
      <c r="C7" s="32"/>
      <c r="F7" s="2"/>
      <c r="G7" s="125">
        <v>1</v>
      </c>
      <c r="H7" s="125">
        <v>2</v>
      </c>
      <c r="I7" s="125">
        <v>3</v>
      </c>
      <c r="J7" s="125">
        <v>4</v>
      </c>
      <c r="K7" s="125">
        <v>5</v>
      </c>
      <c r="L7" s="125">
        <v>6</v>
      </c>
      <c r="M7" s="125">
        <v>7</v>
      </c>
      <c r="N7" s="125">
        <v>8</v>
      </c>
      <c r="O7" s="125">
        <v>9</v>
      </c>
      <c r="P7" s="125">
        <v>10</v>
      </c>
      <c r="Q7" s="125">
        <v>11</v>
      </c>
      <c r="R7" s="125">
        <v>12</v>
      </c>
      <c r="S7" s="125">
        <v>13</v>
      </c>
      <c r="T7" s="125">
        <v>14</v>
      </c>
      <c r="U7" s="125">
        <v>15</v>
      </c>
      <c r="V7" s="125">
        <v>16</v>
      </c>
      <c r="W7" s="125">
        <v>17</v>
      </c>
      <c r="X7" s="125">
        <v>18</v>
      </c>
      <c r="Y7" s="125">
        <v>19</v>
      </c>
      <c r="Z7" s="125">
        <v>20</v>
      </c>
      <c r="AA7" s="125">
        <v>21</v>
      </c>
      <c r="AB7" s="125">
        <v>22</v>
      </c>
      <c r="AC7" s="125">
        <v>23</v>
      </c>
      <c r="AD7" s="125">
        <v>24</v>
      </c>
      <c r="AE7" s="2">
        <v>25</v>
      </c>
    </row>
    <row r="8" spans="1:31" x14ac:dyDescent="0.3">
      <c r="A8" s="6"/>
      <c r="B8" s="32"/>
      <c r="C8" s="32" t="s">
        <v>139</v>
      </c>
      <c r="F8" s="126" t="s">
        <v>29</v>
      </c>
      <c r="G8" s="125"/>
      <c r="H8" s="125"/>
      <c r="I8" s="125"/>
      <c r="J8" s="125"/>
      <c r="K8" s="125"/>
      <c r="L8" s="125"/>
      <c r="M8" s="125"/>
      <c r="N8" s="125"/>
      <c r="O8" s="125"/>
      <c r="P8" s="125"/>
      <c r="Q8" s="125"/>
      <c r="R8" s="125"/>
      <c r="S8" s="125"/>
      <c r="T8" s="125"/>
      <c r="U8" s="125"/>
      <c r="V8" s="125"/>
      <c r="W8" s="125"/>
      <c r="X8" s="125"/>
      <c r="Y8" s="125"/>
      <c r="Z8" s="125"/>
      <c r="AA8" s="125"/>
      <c r="AB8" s="125"/>
      <c r="AC8" s="125"/>
      <c r="AD8" s="125"/>
      <c r="AE8" s="2"/>
    </row>
    <row r="9" spans="1:31" x14ac:dyDescent="0.3">
      <c r="B9" s="125"/>
      <c r="D9" s="11" t="str">
        <f>Benefits!E8</f>
        <v>Capacity - PJM Market</v>
      </c>
      <c r="F9" s="779"/>
      <c r="G9" s="780">
        <f>'Gap Calculator'!M44</f>
        <v>0</v>
      </c>
      <c r="H9" s="780">
        <f>'Gap Calculator'!N44</f>
        <v>0</v>
      </c>
      <c r="I9" s="780">
        <f>'Gap Calculator'!O44</f>
        <v>0</v>
      </c>
      <c r="J9" s="780">
        <f>'Gap Calculator'!P44</f>
        <v>0</v>
      </c>
      <c r="K9" s="780">
        <f>'Gap Calculator'!Q44</f>
        <v>0</v>
      </c>
      <c r="L9" s="780">
        <f>'Gap Calculator'!R44</f>
        <v>0</v>
      </c>
      <c r="M9" s="780">
        <f>'Gap Calculator'!S44</f>
        <v>0</v>
      </c>
      <c r="N9" s="780">
        <f>'Gap Calculator'!T44</f>
        <v>0</v>
      </c>
      <c r="O9" s="780">
        <f>'Gap Calculator'!U44</f>
        <v>0</v>
      </c>
      <c r="P9" s="780">
        <f>'Gap Calculator'!V44</f>
        <v>0</v>
      </c>
      <c r="Q9" s="780">
        <f>'Gap Calculator'!W44</f>
        <v>0</v>
      </c>
      <c r="R9" s="780">
        <f>'Gap Calculator'!X44</f>
        <v>0</v>
      </c>
      <c r="S9" s="780">
        <f>'Gap Calculator'!Y44</f>
        <v>0</v>
      </c>
      <c r="T9" s="780">
        <f>'Gap Calculator'!Z44</f>
        <v>0</v>
      </c>
      <c r="U9" s="780">
        <f>'Gap Calculator'!AA44</f>
        <v>0</v>
      </c>
      <c r="V9" s="780">
        <f>'Gap Calculator'!AB44</f>
        <v>0</v>
      </c>
      <c r="W9" s="780">
        <f>'Gap Calculator'!AC44</f>
        <v>0</v>
      </c>
      <c r="X9" s="780">
        <f>'Gap Calculator'!AD44</f>
        <v>0</v>
      </c>
      <c r="Y9" s="780">
        <f>'Gap Calculator'!AE44</f>
        <v>0</v>
      </c>
      <c r="Z9" s="780">
        <f>'Gap Calculator'!AF44</f>
        <v>0</v>
      </c>
      <c r="AA9" s="780">
        <f>'Gap Calculator'!AG44</f>
        <v>0</v>
      </c>
      <c r="AB9" s="780">
        <f>'Gap Calculator'!AH44</f>
        <v>0</v>
      </c>
      <c r="AC9" s="780">
        <f>'Gap Calculator'!AI44</f>
        <v>0</v>
      </c>
      <c r="AD9" s="780">
        <f>'Gap Calculator'!AJ44</f>
        <v>0</v>
      </c>
      <c r="AE9" s="780">
        <f>'Gap Calculator'!AK44</f>
        <v>0</v>
      </c>
    </row>
    <row r="10" spans="1:31" x14ac:dyDescent="0.3">
      <c r="B10" s="125"/>
      <c r="D10" s="11" t="str">
        <f>Benefits!E9</f>
        <v>Energy Arbitrage - PJM Market</v>
      </c>
      <c r="F10" s="779"/>
      <c r="G10" s="780">
        <f>'Gap Calculator'!M45</f>
        <v>0</v>
      </c>
      <c r="H10" s="780">
        <f>'Gap Calculator'!N45</f>
        <v>0</v>
      </c>
      <c r="I10" s="780">
        <f>'Gap Calculator'!O45</f>
        <v>0</v>
      </c>
      <c r="J10" s="780">
        <f>'Gap Calculator'!P45</f>
        <v>0</v>
      </c>
      <c r="K10" s="780">
        <f>'Gap Calculator'!Q45</f>
        <v>0</v>
      </c>
      <c r="L10" s="780">
        <f>'Gap Calculator'!R45</f>
        <v>0</v>
      </c>
      <c r="M10" s="780">
        <f>'Gap Calculator'!S45</f>
        <v>0</v>
      </c>
      <c r="N10" s="780">
        <f>'Gap Calculator'!T45</f>
        <v>0</v>
      </c>
      <c r="O10" s="780">
        <f>'Gap Calculator'!U45</f>
        <v>0</v>
      </c>
      <c r="P10" s="780">
        <f>'Gap Calculator'!V45</f>
        <v>0</v>
      </c>
      <c r="Q10" s="780">
        <f>'Gap Calculator'!W45</f>
        <v>0</v>
      </c>
      <c r="R10" s="780">
        <f>'Gap Calculator'!X45</f>
        <v>0</v>
      </c>
      <c r="S10" s="780">
        <f>'Gap Calculator'!Y45</f>
        <v>0</v>
      </c>
      <c r="T10" s="780">
        <f>'Gap Calculator'!Z45</f>
        <v>0</v>
      </c>
      <c r="U10" s="780">
        <f>'Gap Calculator'!AA45</f>
        <v>0</v>
      </c>
      <c r="V10" s="780">
        <f>'Gap Calculator'!AB45</f>
        <v>0</v>
      </c>
      <c r="W10" s="780">
        <f>'Gap Calculator'!AC45</f>
        <v>0</v>
      </c>
      <c r="X10" s="780">
        <f>'Gap Calculator'!AD45</f>
        <v>0</v>
      </c>
      <c r="Y10" s="780">
        <f>'Gap Calculator'!AE45</f>
        <v>0</v>
      </c>
      <c r="Z10" s="780">
        <f>'Gap Calculator'!AF45</f>
        <v>0</v>
      </c>
      <c r="AA10" s="780">
        <f>'Gap Calculator'!AG45</f>
        <v>0</v>
      </c>
      <c r="AB10" s="780">
        <f>'Gap Calculator'!AH45</f>
        <v>0</v>
      </c>
      <c r="AC10" s="780">
        <f>'Gap Calculator'!AI45</f>
        <v>0</v>
      </c>
      <c r="AD10" s="780">
        <f>'Gap Calculator'!AJ45</f>
        <v>0</v>
      </c>
      <c r="AE10" s="780">
        <f>'Gap Calculator'!AK45</f>
        <v>0</v>
      </c>
    </row>
    <row r="11" spans="1:31" x14ac:dyDescent="0.3">
      <c r="B11" s="125"/>
      <c r="D11" s="11" t="str">
        <f>Benefits!E10</f>
        <v>Spin- PJM Market</v>
      </c>
      <c r="F11" s="779"/>
      <c r="G11" s="780">
        <f>'Gap Calculator'!M46</f>
        <v>0</v>
      </c>
      <c r="H11" s="780">
        <f>'Gap Calculator'!N46</f>
        <v>0</v>
      </c>
      <c r="I11" s="780">
        <f>'Gap Calculator'!O46</f>
        <v>0</v>
      </c>
      <c r="J11" s="780">
        <f>'Gap Calculator'!P46</f>
        <v>0</v>
      </c>
      <c r="K11" s="780">
        <f>'Gap Calculator'!Q46</f>
        <v>0</v>
      </c>
      <c r="L11" s="780">
        <f>'Gap Calculator'!R46</f>
        <v>0</v>
      </c>
      <c r="M11" s="780">
        <f>'Gap Calculator'!S46</f>
        <v>0</v>
      </c>
      <c r="N11" s="780">
        <f>'Gap Calculator'!T46</f>
        <v>0</v>
      </c>
      <c r="O11" s="780">
        <f>'Gap Calculator'!U46</f>
        <v>0</v>
      </c>
      <c r="P11" s="780">
        <f>'Gap Calculator'!V46</f>
        <v>0</v>
      </c>
      <c r="Q11" s="780">
        <f>'Gap Calculator'!W46</f>
        <v>0</v>
      </c>
      <c r="R11" s="780">
        <f>'Gap Calculator'!X46</f>
        <v>0</v>
      </c>
      <c r="S11" s="780">
        <f>'Gap Calculator'!Y46</f>
        <v>0</v>
      </c>
      <c r="T11" s="780">
        <f>'Gap Calculator'!Z46</f>
        <v>0</v>
      </c>
      <c r="U11" s="780">
        <f>'Gap Calculator'!AA46</f>
        <v>0</v>
      </c>
      <c r="V11" s="780">
        <f>'Gap Calculator'!AB46</f>
        <v>0</v>
      </c>
      <c r="W11" s="780">
        <f>'Gap Calculator'!AC46</f>
        <v>0</v>
      </c>
      <c r="X11" s="780">
        <f>'Gap Calculator'!AD46</f>
        <v>0</v>
      </c>
      <c r="Y11" s="780">
        <f>'Gap Calculator'!AE46</f>
        <v>0</v>
      </c>
      <c r="Z11" s="780">
        <f>'Gap Calculator'!AF46</f>
        <v>0</v>
      </c>
      <c r="AA11" s="780">
        <f>'Gap Calculator'!AG46</f>
        <v>0</v>
      </c>
      <c r="AB11" s="780">
        <f>'Gap Calculator'!AH46</f>
        <v>0</v>
      </c>
      <c r="AC11" s="780">
        <f>'Gap Calculator'!AI46</f>
        <v>0</v>
      </c>
      <c r="AD11" s="780">
        <f>'Gap Calculator'!AJ46</f>
        <v>0</v>
      </c>
      <c r="AE11" s="780">
        <f>'Gap Calculator'!AK46</f>
        <v>0</v>
      </c>
    </row>
    <row r="12" spans="1:31" x14ac:dyDescent="0.3">
      <c r="B12" s="125"/>
      <c r="D12" s="11" t="str">
        <f>Benefits!E11</f>
        <v>Non-Spin - PJM Market</v>
      </c>
      <c r="F12" s="779"/>
      <c r="G12" s="780">
        <f>'Gap Calculator'!M47</f>
        <v>0</v>
      </c>
      <c r="H12" s="780">
        <f>'Gap Calculator'!N47</f>
        <v>0</v>
      </c>
      <c r="I12" s="780">
        <f>'Gap Calculator'!O47</f>
        <v>0</v>
      </c>
      <c r="J12" s="780">
        <f>'Gap Calculator'!P47</f>
        <v>0</v>
      </c>
      <c r="K12" s="780">
        <f>'Gap Calculator'!Q47</f>
        <v>0</v>
      </c>
      <c r="L12" s="780">
        <f>'Gap Calculator'!R47</f>
        <v>0</v>
      </c>
      <c r="M12" s="780">
        <f>'Gap Calculator'!S47</f>
        <v>0</v>
      </c>
      <c r="N12" s="780">
        <f>'Gap Calculator'!T47</f>
        <v>0</v>
      </c>
      <c r="O12" s="780">
        <f>'Gap Calculator'!U47</f>
        <v>0</v>
      </c>
      <c r="P12" s="780">
        <f>'Gap Calculator'!V47</f>
        <v>0</v>
      </c>
      <c r="Q12" s="780">
        <f>'Gap Calculator'!W47</f>
        <v>0</v>
      </c>
      <c r="R12" s="780">
        <f>'Gap Calculator'!X47</f>
        <v>0</v>
      </c>
      <c r="S12" s="780">
        <f>'Gap Calculator'!Y47</f>
        <v>0</v>
      </c>
      <c r="T12" s="780">
        <f>'Gap Calculator'!Z47</f>
        <v>0</v>
      </c>
      <c r="U12" s="780">
        <f>'Gap Calculator'!AA47</f>
        <v>0</v>
      </c>
      <c r="V12" s="780">
        <f>'Gap Calculator'!AB47</f>
        <v>0</v>
      </c>
      <c r="W12" s="780">
        <f>'Gap Calculator'!AC47</f>
        <v>0</v>
      </c>
      <c r="X12" s="780">
        <f>'Gap Calculator'!AD47</f>
        <v>0</v>
      </c>
      <c r="Y12" s="780">
        <f>'Gap Calculator'!AE47</f>
        <v>0</v>
      </c>
      <c r="Z12" s="780">
        <f>'Gap Calculator'!AF47</f>
        <v>0</v>
      </c>
      <c r="AA12" s="780">
        <f>'Gap Calculator'!AG47</f>
        <v>0</v>
      </c>
      <c r="AB12" s="780">
        <f>'Gap Calculator'!AH47</f>
        <v>0</v>
      </c>
      <c r="AC12" s="780">
        <f>'Gap Calculator'!AI47</f>
        <v>0</v>
      </c>
      <c r="AD12" s="780">
        <f>'Gap Calculator'!AJ47</f>
        <v>0</v>
      </c>
      <c r="AE12" s="780">
        <f>'Gap Calculator'!AK47</f>
        <v>0</v>
      </c>
    </row>
    <row r="13" spans="1:31" x14ac:dyDescent="0.3">
      <c r="B13" s="125"/>
      <c r="D13" s="11" t="str">
        <f>Benefits!E12</f>
        <v>Regulation - PJM Market</v>
      </c>
      <c r="F13" s="779"/>
      <c r="G13" s="780">
        <f>'Gap Calculator'!M48</f>
        <v>0</v>
      </c>
      <c r="H13" s="780">
        <f>'Gap Calculator'!N48</f>
        <v>0</v>
      </c>
      <c r="I13" s="780">
        <f>'Gap Calculator'!O48</f>
        <v>0</v>
      </c>
      <c r="J13" s="780">
        <f>'Gap Calculator'!P48</f>
        <v>0</v>
      </c>
      <c r="K13" s="780">
        <f>'Gap Calculator'!Q48</f>
        <v>0</v>
      </c>
      <c r="L13" s="780">
        <f>'Gap Calculator'!R48</f>
        <v>0</v>
      </c>
      <c r="M13" s="780">
        <f>'Gap Calculator'!S48</f>
        <v>0</v>
      </c>
      <c r="N13" s="780">
        <f>'Gap Calculator'!T48</f>
        <v>0</v>
      </c>
      <c r="O13" s="780">
        <f>'Gap Calculator'!U48</f>
        <v>0</v>
      </c>
      <c r="P13" s="780">
        <f>'Gap Calculator'!V48</f>
        <v>0</v>
      </c>
      <c r="Q13" s="780">
        <f>'Gap Calculator'!W48</f>
        <v>0</v>
      </c>
      <c r="R13" s="780">
        <f>'Gap Calculator'!X48</f>
        <v>0</v>
      </c>
      <c r="S13" s="780">
        <f>'Gap Calculator'!Y48</f>
        <v>0</v>
      </c>
      <c r="T13" s="780">
        <f>'Gap Calculator'!Z48</f>
        <v>0</v>
      </c>
      <c r="U13" s="780">
        <f>'Gap Calculator'!AA48</f>
        <v>0</v>
      </c>
      <c r="V13" s="780">
        <f>'Gap Calculator'!AB48</f>
        <v>0</v>
      </c>
      <c r="W13" s="780">
        <f>'Gap Calculator'!AC48</f>
        <v>0</v>
      </c>
      <c r="X13" s="780">
        <f>'Gap Calculator'!AD48</f>
        <v>0</v>
      </c>
      <c r="Y13" s="780">
        <f>'Gap Calculator'!AE48</f>
        <v>0</v>
      </c>
      <c r="Z13" s="780">
        <f>'Gap Calculator'!AF48</f>
        <v>0</v>
      </c>
      <c r="AA13" s="780">
        <f>'Gap Calculator'!AG48</f>
        <v>0</v>
      </c>
      <c r="AB13" s="780">
        <f>'Gap Calculator'!AH48</f>
        <v>0</v>
      </c>
      <c r="AC13" s="780">
        <f>'Gap Calculator'!AI48</f>
        <v>0</v>
      </c>
      <c r="AD13" s="780">
        <f>'Gap Calculator'!AJ48</f>
        <v>0</v>
      </c>
      <c r="AE13" s="780">
        <f>'Gap Calculator'!AK48</f>
        <v>0</v>
      </c>
    </row>
    <row r="14" spans="1:31" x14ac:dyDescent="0.3">
      <c r="B14" s="125"/>
      <c r="D14" s="11" t="str">
        <f>Benefits!E13</f>
        <v>Incurred Energy Charges</v>
      </c>
      <c r="F14" s="779"/>
      <c r="G14" s="780">
        <f>'Gap Calculator'!M49</f>
        <v>0</v>
      </c>
      <c r="H14" s="780">
        <f>'Gap Calculator'!N49</f>
        <v>0</v>
      </c>
      <c r="I14" s="780">
        <f>'Gap Calculator'!O49</f>
        <v>0</v>
      </c>
      <c r="J14" s="780">
        <f>'Gap Calculator'!P49</f>
        <v>0</v>
      </c>
      <c r="K14" s="780">
        <f>'Gap Calculator'!Q49</f>
        <v>0</v>
      </c>
      <c r="L14" s="780">
        <f>'Gap Calculator'!R49</f>
        <v>0</v>
      </c>
      <c r="M14" s="780">
        <f>'Gap Calculator'!S49</f>
        <v>0</v>
      </c>
      <c r="N14" s="780">
        <f>'Gap Calculator'!T49</f>
        <v>0</v>
      </c>
      <c r="O14" s="780">
        <f>'Gap Calculator'!U49</f>
        <v>0</v>
      </c>
      <c r="P14" s="780">
        <f>'Gap Calculator'!V49</f>
        <v>0</v>
      </c>
      <c r="Q14" s="780">
        <f>'Gap Calculator'!W49</f>
        <v>0</v>
      </c>
      <c r="R14" s="780">
        <f>'Gap Calculator'!X49</f>
        <v>0</v>
      </c>
      <c r="S14" s="780">
        <f>'Gap Calculator'!Y49</f>
        <v>0</v>
      </c>
      <c r="T14" s="780">
        <f>'Gap Calculator'!Z49</f>
        <v>0</v>
      </c>
      <c r="U14" s="780">
        <f>'Gap Calculator'!AA49</f>
        <v>0</v>
      </c>
      <c r="V14" s="780">
        <f>'Gap Calculator'!AB49</f>
        <v>0</v>
      </c>
      <c r="W14" s="780">
        <f>'Gap Calculator'!AC49</f>
        <v>0</v>
      </c>
      <c r="X14" s="780">
        <f>'Gap Calculator'!AD49</f>
        <v>0</v>
      </c>
      <c r="Y14" s="780">
        <f>'Gap Calculator'!AE49</f>
        <v>0</v>
      </c>
      <c r="Z14" s="780">
        <f>'Gap Calculator'!AF49</f>
        <v>0</v>
      </c>
      <c r="AA14" s="780">
        <f>'Gap Calculator'!AG49</f>
        <v>0</v>
      </c>
      <c r="AB14" s="780">
        <f>'Gap Calculator'!AH49</f>
        <v>0</v>
      </c>
      <c r="AC14" s="780">
        <f>'Gap Calculator'!AI49</f>
        <v>0</v>
      </c>
      <c r="AD14" s="780">
        <f>'Gap Calculator'!AJ49</f>
        <v>0</v>
      </c>
      <c r="AE14" s="780">
        <f>'Gap Calculator'!AK49</f>
        <v>0</v>
      </c>
    </row>
    <row r="15" spans="1:31" x14ac:dyDescent="0.3">
      <c r="B15" s="125"/>
      <c r="D15" s="11" t="str">
        <f>Benefits!E14</f>
        <v>As Used Demand Charges</v>
      </c>
      <c r="F15" s="779"/>
      <c r="G15" s="780">
        <f>'Gap Calculator'!M50</f>
        <v>0</v>
      </c>
      <c r="H15" s="780">
        <f>'Gap Calculator'!N50</f>
        <v>0</v>
      </c>
      <c r="I15" s="780">
        <f>'Gap Calculator'!O50</f>
        <v>0</v>
      </c>
      <c r="J15" s="780">
        <f>'Gap Calculator'!P50</f>
        <v>0</v>
      </c>
      <c r="K15" s="780">
        <f>'Gap Calculator'!Q50</f>
        <v>0</v>
      </c>
      <c r="L15" s="780">
        <f>'Gap Calculator'!R50</f>
        <v>0</v>
      </c>
      <c r="M15" s="780">
        <f>'Gap Calculator'!S50</f>
        <v>0</v>
      </c>
      <c r="N15" s="780">
        <f>'Gap Calculator'!T50</f>
        <v>0</v>
      </c>
      <c r="O15" s="780">
        <f>'Gap Calculator'!U50</f>
        <v>0</v>
      </c>
      <c r="P15" s="780">
        <f>'Gap Calculator'!V50</f>
        <v>0</v>
      </c>
      <c r="Q15" s="780">
        <f>'Gap Calculator'!W50</f>
        <v>0</v>
      </c>
      <c r="R15" s="780">
        <f>'Gap Calculator'!X50</f>
        <v>0</v>
      </c>
      <c r="S15" s="780">
        <f>'Gap Calculator'!Y50</f>
        <v>0</v>
      </c>
      <c r="T15" s="780">
        <f>'Gap Calculator'!Z50</f>
        <v>0</v>
      </c>
      <c r="U15" s="780">
        <f>'Gap Calculator'!AA50</f>
        <v>0</v>
      </c>
      <c r="V15" s="780">
        <f>'Gap Calculator'!AB50</f>
        <v>0</v>
      </c>
      <c r="W15" s="780">
        <f>'Gap Calculator'!AC50</f>
        <v>0</v>
      </c>
      <c r="X15" s="780">
        <f>'Gap Calculator'!AD50</f>
        <v>0</v>
      </c>
      <c r="Y15" s="780">
        <f>'Gap Calculator'!AE50</f>
        <v>0</v>
      </c>
      <c r="Z15" s="780">
        <f>'Gap Calculator'!AF50</f>
        <v>0</v>
      </c>
      <c r="AA15" s="780">
        <f>'Gap Calculator'!AG50</f>
        <v>0</v>
      </c>
      <c r="AB15" s="780">
        <f>'Gap Calculator'!AH50</f>
        <v>0</v>
      </c>
      <c r="AC15" s="780">
        <f>'Gap Calculator'!AI50</f>
        <v>0</v>
      </c>
      <c r="AD15" s="780">
        <f>'Gap Calculator'!AJ50</f>
        <v>0</v>
      </c>
      <c r="AE15" s="780">
        <f>'Gap Calculator'!AK50</f>
        <v>0</v>
      </c>
    </row>
    <row r="16" spans="1:31" x14ac:dyDescent="0.3">
      <c r="B16" s="125"/>
      <c r="D16" s="11" t="str">
        <f>Benefits!E15</f>
        <v>Contract Demand Charges  Fixed</v>
      </c>
      <c r="F16" s="779"/>
      <c r="G16" s="780">
        <f>'Gap Calculator'!M51</f>
        <v>0</v>
      </c>
      <c r="H16" s="780">
        <f>'Gap Calculator'!N51</f>
        <v>0</v>
      </c>
      <c r="I16" s="780">
        <f>'Gap Calculator'!O51</f>
        <v>0</v>
      </c>
      <c r="J16" s="780">
        <f>'Gap Calculator'!P51</f>
        <v>0</v>
      </c>
      <c r="K16" s="780">
        <f>'Gap Calculator'!Q51</f>
        <v>0</v>
      </c>
      <c r="L16" s="780">
        <f>'Gap Calculator'!R51</f>
        <v>0</v>
      </c>
      <c r="M16" s="780">
        <f>'Gap Calculator'!S51</f>
        <v>0</v>
      </c>
      <c r="N16" s="780">
        <f>'Gap Calculator'!T51</f>
        <v>0</v>
      </c>
      <c r="O16" s="780">
        <f>'Gap Calculator'!U51</f>
        <v>0</v>
      </c>
      <c r="P16" s="780">
        <f>'Gap Calculator'!V51</f>
        <v>0</v>
      </c>
      <c r="Q16" s="780">
        <f>'Gap Calculator'!W51</f>
        <v>0</v>
      </c>
      <c r="R16" s="780">
        <f>'Gap Calculator'!X51</f>
        <v>0</v>
      </c>
      <c r="S16" s="780">
        <f>'Gap Calculator'!Y51</f>
        <v>0</v>
      </c>
      <c r="T16" s="780">
        <f>'Gap Calculator'!Z51</f>
        <v>0</v>
      </c>
      <c r="U16" s="780">
        <f>'Gap Calculator'!AA51</f>
        <v>0</v>
      </c>
      <c r="V16" s="780">
        <f>'Gap Calculator'!AB51</f>
        <v>0</v>
      </c>
      <c r="W16" s="780">
        <f>'Gap Calculator'!AC51</f>
        <v>0</v>
      </c>
      <c r="X16" s="780">
        <f>'Gap Calculator'!AD51</f>
        <v>0</v>
      </c>
      <c r="Y16" s="780">
        <f>'Gap Calculator'!AE51</f>
        <v>0</v>
      </c>
      <c r="Z16" s="780">
        <f>'Gap Calculator'!AF51</f>
        <v>0</v>
      </c>
      <c r="AA16" s="780">
        <f>'Gap Calculator'!AG51</f>
        <v>0</v>
      </c>
      <c r="AB16" s="780">
        <f>'Gap Calculator'!AH51</f>
        <v>0</v>
      </c>
      <c r="AC16" s="780">
        <f>'Gap Calculator'!AI51</f>
        <v>0</v>
      </c>
      <c r="AD16" s="780">
        <f>'Gap Calculator'!AJ51</f>
        <v>0</v>
      </c>
      <c r="AE16" s="780">
        <f>'Gap Calculator'!AK51</f>
        <v>0</v>
      </c>
    </row>
    <row r="17" spans="1:32" x14ac:dyDescent="0.3">
      <c r="B17" s="125"/>
      <c r="D17" s="11" t="str">
        <f>Benefits!E16</f>
        <v>Customer Charges/ Fixed Charges</v>
      </c>
      <c r="F17" s="779"/>
      <c r="G17" s="780">
        <f>'Gap Calculator'!M52</f>
        <v>0</v>
      </c>
      <c r="H17" s="780">
        <f>'Gap Calculator'!N52</f>
        <v>0</v>
      </c>
      <c r="I17" s="780">
        <f>'Gap Calculator'!O52</f>
        <v>0</v>
      </c>
      <c r="J17" s="780">
        <f>'Gap Calculator'!P52</f>
        <v>0</v>
      </c>
      <c r="K17" s="780">
        <f>'Gap Calculator'!Q52</f>
        <v>0</v>
      </c>
      <c r="L17" s="780">
        <f>'Gap Calculator'!R52</f>
        <v>0</v>
      </c>
      <c r="M17" s="780">
        <f>'Gap Calculator'!S52</f>
        <v>0</v>
      </c>
      <c r="N17" s="780">
        <f>'Gap Calculator'!T52</f>
        <v>0</v>
      </c>
      <c r="O17" s="780">
        <f>'Gap Calculator'!U52</f>
        <v>0</v>
      </c>
      <c r="P17" s="780">
        <f>'Gap Calculator'!V52</f>
        <v>0</v>
      </c>
      <c r="Q17" s="780">
        <f>'Gap Calculator'!W52</f>
        <v>0</v>
      </c>
      <c r="R17" s="780">
        <f>'Gap Calculator'!X52</f>
        <v>0</v>
      </c>
      <c r="S17" s="780">
        <f>'Gap Calculator'!Y52</f>
        <v>0</v>
      </c>
      <c r="T17" s="780">
        <f>'Gap Calculator'!Z52</f>
        <v>0</v>
      </c>
      <c r="U17" s="780">
        <f>'Gap Calculator'!AA52</f>
        <v>0</v>
      </c>
      <c r="V17" s="780">
        <f>'Gap Calculator'!AB52</f>
        <v>0</v>
      </c>
      <c r="W17" s="780">
        <f>'Gap Calculator'!AC52</f>
        <v>0</v>
      </c>
      <c r="X17" s="780">
        <f>'Gap Calculator'!AD52</f>
        <v>0</v>
      </c>
      <c r="Y17" s="780">
        <f>'Gap Calculator'!AE52</f>
        <v>0</v>
      </c>
      <c r="Z17" s="780">
        <f>'Gap Calculator'!AF52</f>
        <v>0</v>
      </c>
      <c r="AA17" s="780">
        <f>'Gap Calculator'!AG52</f>
        <v>0</v>
      </c>
      <c r="AB17" s="780">
        <f>'Gap Calculator'!AH52</f>
        <v>0</v>
      </c>
      <c r="AC17" s="780">
        <f>'Gap Calculator'!AI52</f>
        <v>0</v>
      </c>
      <c r="AD17" s="780">
        <f>'Gap Calculator'!AJ52</f>
        <v>0</v>
      </c>
      <c r="AE17" s="780">
        <f>'Gap Calculator'!AK52</f>
        <v>0</v>
      </c>
    </row>
    <row r="18" spans="1:32" x14ac:dyDescent="0.3">
      <c r="B18" s="125"/>
      <c r="D18" s="11" t="str">
        <f>Benefits!E17</f>
        <v>Energy Savings</v>
      </c>
      <c r="F18" s="779"/>
      <c r="G18" s="780">
        <f>'Gap Calculator'!M53</f>
        <v>319.28756479459946</v>
      </c>
      <c r="H18" s="780">
        <f>'Gap Calculator'!N53</f>
        <v>296.09913291968599</v>
      </c>
      <c r="I18" s="780">
        <f>'Gap Calculator'!O53</f>
        <v>317.96640465024109</v>
      </c>
      <c r="J18" s="780">
        <f>'Gap Calculator'!P53</f>
        <v>338.68187496330421</v>
      </c>
      <c r="K18" s="780">
        <f>'Gap Calculator'!Q53</f>
        <v>346.02476334262559</v>
      </c>
      <c r="L18" s="780">
        <f>'Gap Calculator'!R53</f>
        <v>352.54044767348444</v>
      </c>
      <c r="M18" s="780">
        <f>'Gap Calculator'!S53</f>
        <v>359.05613200434328</v>
      </c>
      <c r="N18" s="780">
        <f>'Gap Calculator'!T53</f>
        <v>365.57181633520213</v>
      </c>
      <c r="O18" s="780">
        <f>'Gap Calculator'!U53</f>
        <v>372.08750066606098</v>
      </c>
      <c r="P18" s="780">
        <f>'Gap Calculator'!V53</f>
        <v>378.60318499691988</v>
      </c>
      <c r="Q18" s="780">
        <f>'Gap Calculator'!W53</f>
        <v>400.48421245641009</v>
      </c>
      <c r="R18" s="780">
        <f>'Gap Calculator'!X53</f>
        <v>422.3652399159003</v>
      </c>
      <c r="S18" s="780">
        <f>'Gap Calculator'!Y53</f>
        <v>444.24626737539052</v>
      </c>
      <c r="T18" s="780">
        <f>'Gap Calculator'!Z53</f>
        <v>466.12729483488073</v>
      </c>
      <c r="U18" s="780">
        <f>'Gap Calculator'!AA53</f>
        <v>488.00832229437106</v>
      </c>
      <c r="V18" s="780">
        <f>'Gap Calculator'!AB53</f>
        <v>501.72759071026144</v>
      </c>
      <c r="W18" s="780">
        <f>'Gap Calculator'!AC53</f>
        <v>515.44685912615182</v>
      </c>
      <c r="X18" s="780">
        <f>'Gap Calculator'!AD53</f>
        <v>529.1661275420422</v>
      </c>
      <c r="Y18" s="780">
        <f>'Gap Calculator'!AE53</f>
        <v>542.88539595793259</v>
      </c>
      <c r="Z18" s="780">
        <f>'Gap Calculator'!AF53</f>
        <v>556.60466437382297</v>
      </c>
      <c r="AA18" s="780">
        <f>'Gap Calculator'!AG53</f>
        <v>0</v>
      </c>
      <c r="AB18" s="780">
        <f>'Gap Calculator'!AH53</f>
        <v>0</v>
      </c>
      <c r="AC18" s="780">
        <f>'Gap Calculator'!AI53</f>
        <v>0</v>
      </c>
      <c r="AD18" s="780">
        <f>'Gap Calculator'!AJ53</f>
        <v>0</v>
      </c>
      <c r="AE18" s="780">
        <f>'Gap Calculator'!AK53</f>
        <v>0</v>
      </c>
    </row>
    <row r="19" spans="1:32" x14ac:dyDescent="0.3">
      <c r="A19" s="6"/>
      <c r="B19" s="32"/>
      <c r="C19" s="32"/>
      <c r="D19" s="11" t="str">
        <f>Benefits!E18</f>
        <v xml:space="preserve">Demand Savings </v>
      </c>
      <c r="F19" s="2"/>
      <c r="G19" s="780">
        <f>'Gap Calculator'!M54</f>
        <v>0</v>
      </c>
      <c r="H19" s="780">
        <f>'Gap Calculator'!N54</f>
        <v>0</v>
      </c>
      <c r="I19" s="780">
        <f>'Gap Calculator'!O54</f>
        <v>0</v>
      </c>
      <c r="J19" s="780">
        <f>'Gap Calculator'!P54</f>
        <v>0</v>
      </c>
      <c r="K19" s="780">
        <f>'Gap Calculator'!Q54</f>
        <v>0</v>
      </c>
      <c r="L19" s="780">
        <f>'Gap Calculator'!R54</f>
        <v>0</v>
      </c>
      <c r="M19" s="780">
        <f>'Gap Calculator'!S54</f>
        <v>0</v>
      </c>
      <c r="N19" s="780">
        <f>'Gap Calculator'!T54</f>
        <v>0</v>
      </c>
      <c r="O19" s="780">
        <f>'Gap Calculator'!U54</f>
        <v>0</v>
      </c>
      <c r="P19" s="780">
        <f>'Gap Calculator'!V54</f>
        <v>0</v>
      </c>
      <c r="Q19" s="780">
        <f>'Gap Calculator'!W54</f>
        <v>0</v>
      </c>
      <c r="R19" s="780">
        <f>'Gap Calculator'!X54</f>
        <v>0</v>
      </c>
      <c r="S19" s="780">
        <f>'Gap Calculator'!Y54</f>
        <v>0</v>
      </c>
      <c r="T19" s="780">
        <f>'Gap Calculator'!Z54</f>
        <v>0</v>
      </c>
      <c r="U19" s="780">
        <f>'Gap Calculator'!AA54</f>
        <v>0</v>
      </c>
      <c r="V19" s="780">
        <f>'Gap Calculator'!AB54</f>
        <v>0</v>
      </c>
      <c r="W19" s="780">
        <f>'Gap Calculator'!AC54</f>
        <v>0</v>
      </c>
      <c r="X19" s="780">
        <f>'Gap Calculator'!AD54</f>
        <v>0</v>
      </c>
      <c r="Y19" s="780">
        <f>'Gap Calculator'!AE54</f>
        <v>0</v>
      </c>
      <c r="Z19" s="780">
        <f>'Gap Calculator'!AF54</f>
        <v>0</v>
      </c>
      <c r="AA19" s="780">
        <f>'Gap Calculator'!AG54</f>
        <v>0</v>
      </c>
      <c r="AB19" s="780">
        <f>'Gap Calculator'!AH54</f>
        <v>0</v>
      </c>
      <c r="AC19" s="780">
        <f>'Gap Calculator'!AI54</f>
        <v>0</v>
      </c>
      <c r="AD19" s="780">
        <f>'Gap Calculator'!AJ54</f>
        <v>0</v>
      </c>
      <c r="AE19" s="780">
        <f>'Gap Calculator'!AK54</f>
        <v>0</v>
      </c>
    </row>
    <row r="20" spans="1:32" x14ac:dyDescent="0.3">
      <c r="A20" s="6"/>
      <c r="B20" s="32"/>
      <c r="C20" s="32"/>
      <c r="D20" s="11" t="str">
        <f>Benefits!E19</f>
        <v>Energy Generation - Export</v>
      </c>
      <c r="G20" s="780">
        <f>'Gap Calculator'!M55</f>
        <v>0</v>
      </c>
      <c r="H20" s="780">
        <f>'Gap Calculator'!N55</f>
        <v>0</v>
      </c>
      <c r="I20" s="780">
        <f>'Gap Calculator'!O55</f>
        <v>0</v>
      </c>
      <c r="J20" s="780">
        <f>'Gap Calculator'!P55</f>
        <v>0</v>
      </c>
      <c r="K20" s="780">
        <f>'Gap Calculator'!Q55</f>
        <v>0</v>
      </c>
      <c r="L20" s="780">
        <f>'Gap Calculator'!R55</f>
        <v>0</v>
      </c>
      <c r="M20" s="780">
        <f>'Gap Calculator'!S55</f>
        <v>0</v>
      </c>
      <c r="N20" s="780">
        <f>'Gap Calculator'!T55</f>
        <v>0</v>
      </c>
      <c r="O20" s="780">
        <f>'Gap Calculator'!U55</f>
        <v>0</v>
      </c>
      <c r="P20" s="780">
        <f>'Gap Calculator'!V55</f>
        <v>0</v>
      </c>
      <c r="Q20" s="780">
        <f>'Gap Calculator'!W55</f>
        <v>0</v>
      </c>
      <c r="R20" s="780">
        <f>'Gap Calculator'!X55</f>
        <v>0</v>
      </c>
      <c r="S20" s="780">
        <f>'Gap Calculator'!Y55</f>
        <v>0</v>
      </c>
      <c r="T20" s="780">
        <f>'Gap Calculator'!Z55</f>
        <v>0</v>
      </c>
      <c r="U20" s="780">
        <f>'Gap Calculator'!AA55</f>
        <v>0</v>
      </c>
      <c r="V20" s="780">
        <f>'Gap Calculator'!AB55</f>
        <v>0</v>
      </c>
      <c r="W20" s="780">
        <f>'Gap Calculator'!AC55</f>
        <v>0</v>
      </c>
      <c r="X20" s="780">
        <f>'Gap Calculator'!AD55</f>
        <v>0</v>
      </c>
      <c r="Y20" s="780">
        <f>'Gap Calculator'!AE55</f>
        <v>0</v>
      </c>
      <c r="Z20" s="780">
        <f>'Gap Calculator'!AF55</f>
        <v>0</v>
      </c>
      <c r="AA20" s="780">
        <f>'Gap Calculator'!AG55</f>
        <v>0</v>
      </c>
      <c r="AB20" s="780">
        <f>'Gap Calculator'!AH55</f>
        <v>0</v>
      </c>
      <c r="AC20" s="780">
        <f>'Gap Calculator'!AI55</f>
        <v>0</v>
      </c>
      <c r="AD20" s="780">
        <f>'Gap Calculator'!AJ55</f>
        <v>0</v>
      </c>
      <c r="AE20" s="780">
        <f>'Gap Calculator'!AK55</f>
        <v>0</v>
      </c>
    </row>
    <row r="21" spans="1:32" x14ac:dyDescent="0.3">
      <c r="A21" s="6"/>
      <c r="B21" s="125"/>
      <c r="C21" s="32"/>
      <c r="D21" s="11" t="str">
        <f>Benefits!E20</f>
        <v>Generation Capacity</v>
      </c>
      <c r="F21" s="2"/>
      <c r="G21" s="780">
        <f>'Gap Calculator'!M56</f>
        <v>364.57937608314802</v>
      </c>
      <c r="H21" s="780">
        <f>'Gap Calculator'!N56</f>
        <v>364.57937608314802</v>
      </c>
      <c r="I21" s="780">
        <f>'Gap Calculator'!O56</f>
        <v>291.6635008665184</v>
      </c>
      <c r="J21" s="780">
        <f>'Gap Calculator'!P56</f>
        <v>291.6635008665184</v>
      </c>
      <c r="K21" s="780">
        <f>'Gap Calculator'!Q56</f>
        <v>291.6635008665184</v>
      </c>
      <c r="L21" s="780">
        <f>'Gap Calculator'!R56</f>
        <v>291.6635008665184</v>
      </c>
      <c r="M21" s="780">
        <f>'Gap Calculator'!S56</f>
        <v>291.6635008665184</v>
      </c>
      <c r="N21" s="780">
        <f>'Gap Calculator'!T56</f>
        <v>291.6635008665184</v>
      </c>
      <c r="O21" s="780">
        <f>'Gap Calculator'!U56</f>
        <v>291.6635008665184</v>
      </c>
      <c r="P21" s="780">
        <f>'Gap Calculator'!V56</f>
        <v>291.6635008665184</v>
      </c>
      <c r="Q21" s="780">
        <f>'Gap Calculator'!W56</f>
        <v>300.36661668606462</v>
      </c>
      <c r="R21" s="780">
        <f>'Gap Calculator'!X56</f>
        <v>309.06973250561083</v>
      </c>
      <c r="S21" s="780">
        <f>'Gap Calculator'!Y56</f>
        <v>317.77284832515704</v>
      </c>
      <c r="T21" s="780">
        <f>'Gap Calculator'!Z56</f>
        <v>326.47596414470325</v>
      </c>
      <c r="U21" s="780">
        <f>'Gap Calculator'!AA56</f>
        <v>335.17907996424947</v>
      </c>
      <c r="V21" s="780">
        <f>'Gap Calculator'!AB56</f>
        <v>344.50751859096465</v>
      </c>
      <c r="W21" s="780">
        <f>'Gap Calculator'!AC56</f>
        <v>353.83595721767983</v>
      </c>
      <c r="X21" s="780">
        <f>'Gap Calculator'!AD56</f>
        <v>363.16439584439507</v>
      </c>
      <c r="Y21" s="780">
        <f>'Gap Calculator'!AE56</f>
        <v>372.49283447111026</v>
      </c>
      <c r="Z21" s="780">
        <f>'Gap Calculator'!AF56</f>
        <v>381.82127309782544</v>
      </c>
      <c r="AA21" s="780">
        <f>'Gap Calculator'!AG56</f>
        <v>0</v>
      </c>
      <c r="AB21" s="780">
        <f>'Gap Calculator'!AH56</f>
        <v>0</v>
      </c>
      <c r="AC21" s="780">
        <f>'Gap Calculator'!AI56</f>
        <v>0</v>
      </c>
      <c r="AD21" s="780">
        <f>'Gap Calculator'!AJ56</f>
        <v>0</v>
      </c>
      <c r="AE21" s="780">
        <f>'Gap Calculator'!AK56</f>
        <v>0</v>
      </c>
    </row>
    <row r="22" spans="1:32" x14ac:dyDescent="0.3">
      <c r="A22" s="6"/>
      <c r="B22" s="125"/>
      <c r="C22" s="32"/>
      <c r="D22" s="11" t="str">
        <f>Benefits!E21</f>
        <v>Transmission Capacity</v>
      </c>
      <c r="E22" s="781"/>
      <c r="F22" s="2"/>
      <c r="G22" s="780">
        <f>'Gap Calculator'!M57</f>
        <v>122.16203886869096</v>
      </c>
      <c r="H22" s="780">
        <f>'Gap Calculator'!N57</f>
        <v>122.16203886869096</v>
      </c>
      <c r="I22" s="780">
        <f>'Gap Calculator'!O57</f>
        <v>97.729631094952751</v>
      </c>
      <c r="J22" s="780">
        <f>'Gap Calculator'!P57</f>
        <v>97.729631094952751</v>
      </c>
      <c r="K22" s="780">
        <f>'Gap Calculator'!Q57</f>
        <v>97.729631094952751</v>
      </c>
      <c r="L22" s="780">
        <f>'Gap Calculator'!R57</f>
        <v>97.729631094952751</v>
      </c>
      <c r="M22" s="780">
        <f>'Gap Calculator'!S57</f>
        <v>97.729631094952751</v>
      </c>
      <c r="N22" s="780">
        <f>'Gap Calculator'!T57</f>
        <v>97.729631094952751</v>
      </c>
      <c r="O22" s="780">
        <f>'Gap Calculator'!U57</f>
        <v>97.729631094952751</v>
      </c>
      <c r="P22" s="780">
        <f>'Gap Calculator'!V57</f>
        <v>97.729631094952751</v>
      </c>
      <c r="Q22" s="780">
        <f>'Gap Calculator'!W57</f>
        <v>99.247468734139431</v>
      </c>
      <c r="R22" s="780">
        <f>'Gap Calculator'!X57</f>
        <v>100.7653063733261</v>
      </c>
      <c r="S22" s="780">
        <f>'Gap Calculator'!Y57</f>
        <v>102.28314401251278</v>
      </c>
      <c r="T22" s="780">
        <f>'Gap Calculator'!Z57</f>
        <v>103.80098165169944</v>
      </c>
      <c r="U22" s="780">
        <f>'Gap Calculator'!AA57</f>
        <v>105.31881929088613</v>
      </c>
      <c r="V22" s="780">
        <f>'Gap Calculator'!AB57</f>
        <v>108.24996923645531</v>
      </c>
      <c r="W22" s="780">
        <f>'Gap Calculator'!AC57</f>
        <v>111.1811191820245</v>
      </c>
      <c r="X22" s="780">
        <f>'Gap Calculator'!AD57</f>
        <v>114.11226912759369</v>
      </c>
      <c r="Y22" s="780">
        <f>'Gap Calculator'!AE57</f>
        <v>117.04341907316287</v>
      </c>
      <c r="Z22" s="780">
        <f>'Gap Calculator'!AF57</f>
        <v>119.97456901873205</v>
      </c>
      <c r="AA22" s="780">
        <f>'Gap Calculator'!AG57</f>
        <v>0</v>
      </c>
      <c r="AB22" s="780">
        <f>'Gap Calculator'!AH57</f>
        <v>0</v>
      </c>
      <c r="AC22" s="780">
        <f>'Gap Calculator'!AI57</f>
        <v>0</v>
      </c>
      <c r="AD22" s="780">
        <f>'Gap Calculator'!AJ57</f>
        <v>0</v>
      </c>
      <c r="AE22" s="780">
        <f>'Gap Calculator'!AK57</f>
        <v>0</v>
      </c>
      <c r="AF22" s="782"/>
    </row>
    <row r="23" spans="1:32" x14ac:dyDescent="0.3">
      <c r="A23" s="6"/>
      <c r="B23" s="125"/>
      <c r="C23" s="32"/>
      <c r="D23" s="11" t="str">
        <f>Benefits!E22</f>
        <v>Distribution Capacity</v>
      </c>
      <c r="F23" s="2"/>
      <c r="G23" s="780">
        <f>'Gap Calculator'!M58</f>
        <v>30.114704533615988</v>
      </c>
      <c r="H23" s="780">
        <f>'Gap Calculator'!N58</f>
        <v>30.114704533615992</v>
      </c>
      <c r="I23" s="780">
        <f>'Gap Calculator'!O58</f>
        <v>23.680641380700092</v>
      </c>
      <c r="J23" s="780">
        <f>'Gap Calculator'!P58</f>
        <v>24.33843697460842</v>
      </c>
      <c r="K23" s="780">
        <f>'Gap Calculator'!Q58</f>
        <v>22.714523474391903</v>
      </c>
      <c r="L23" s="780">
        <f>'Gap Calculator'!R58</f>
        <v>22.924191945501249</v>
      </c>
      <c r="M23" s="780">
        <f>'Gap Calculator'!S58</f>
        <v>23.133860416610595</v>
      </c>
      <c r="N23" s="780">
        <f>'Gap Calculator'!T58</f>
        <v>23.343528887719938</v>
      </c>
      <c r="O23" s="780">
        <f>'Gap Calculator'!U58</f>
        <v>23.553197358829284</v>
      </c>
      <c r="P23" s="780">
        <f>'Gap Calculator'!V58</f>
        <v>23.76286582993863</v>
      </c>
      <c r="Q23" s="780">
        <f>'Gap Calculator'!W58</f>
        <v>24.419911914265136</v>
      </c>
      <c r="R23" s="780">
        <f>'Gap Calculator'!X58</f>
        <v>25.076957998591642</v>
      </c>
      <c r="S23" s="780">
        <f>'Gap Calculator'!Y58</f>
        <v>25.734004082918148</v>
      </c>
      <c r="T23" s="780">
        <f>'Gap Calculator'!Z58</f>
        <v>26.391050167244654</v>
      </c>
      <c r="U23" s="780">
        <f>'Gap Calculator'!AA58</f>
        <v>27.04809625157116</v>
      </c>
      <c r="V23" s="780">
        <f>'Gap Calculator'!AB58</f>
        <v>27.464515035499282</v>
      </c>
      <c r="W23" s="780">
        <f>'Gap Calculator'!AC58</f>
        <v>27.880933819427408</v>
      </c>
      <c r="X23" s="780">
        <f>'Gap Calculator'!AD58</f>
        <v>28.297352603355531</v>
      </c>
      <c r="Y23" s="780">
        <f>'Gap Calculator'!AE58</f>
        <v>28.713771387283657</v>
      </c>
      <c r="Z23" s="780">
        <f>'Gap Calculator'!AF58</f>
        <v>29.13019017121178</v>
      </c>
      <c r="AA23" s="780">
        <f>'Gap Calculator'!AG58</f>
        <v>0</v>
      </c>
      <c r="AB23" s="780">
        <f>'Gap Calculator'!AH58</f>
        <v>0</v>
      </c>
      <c r="AC23" s="780">
        <f>'Gap Calculator'!AI58</f>
        <v>0</v>
      </c>
      <c r="AD23" s="780">
        <f>'Gap Calculator'!AJ58</f>
        <v>0</v>
      </c>
      <c r="AE23" s="780">
        <f>'Gap Calculator'!AK58</f>
        <v>0</v>
      </c>
    </row>
    <row r="24" spans="1:32" x14ac:dyDescent="0.3">
      <c r="B24" s="125"/>
      <c r="D24" s="11" t="str">
        <f>Benefits!E23</f>
        <v>GHG Impacts</v>
      </c>
      <c r="F24" s="779"/>
      <c r="G24" s="780">
        <f>'Gap Calculator'!M59</f>
        <v>143.47714610799684</v>
      </c>
      <c r="H24" s="780">
        <f>'Gap Calculator'!N59</f>
        <v>117.46765740705874</v>
      </c>
      <c r="I24" s="780">
        <f>'Gap Calculator'!O59</f>
        <v>63.005407372540716</v>
      </c>
      <c r="J24" s="780">
        <f>'Gap Calculator'!P59</f>
        <v>82.481235322387548</v>
      </c>
      <c r="K24" s="780">
        <f>'Gap Calculator'!Q59</f>
        <v>112.59345223469656</v>
      </c>
      <c r="L24" s="780">
        <f>'Gap Calculator'!R59</f>
        <v>138.57086877693831</v>
      </c>
      <c r="M24" s="780">
        <f>'Gap Calculator'!S59</f>
        <v>164.54828531918008</v>
      </c>
      <c r="N24" s="780">
        <f>'Gap Calculator'!T59</f>
        <v>190.52570186142185</v>
      </c>
      <c r="O24" s="780">
        <f>'Gap Calculator'!U59</f>
        <v>216.50311840366359</v>
      </c>
      <c r="P24" s="780">
        <f>'Gap Calculator'!V59</f>
        <v>242.48053494590533</v>
      </c>
      <c r="Q24" s="780">
        <f>'Gap Calculator'!W59</f>
        <v>261.7236545004256</v>
      </c>
      <c r="R24" s="780">
        <f>'Gap Calculator'!X59</f>
        <v>280.96677405494586</v>
      </c>
      <c r="S24" s="780">
        <f>'Gap Calculator'!Y59</f>
        <v>300.20989360946612</v>
      </c>
      <c r="T24" s="780">
        <f>'Gap Calculator'!Z59</f>
        <v>319.45301316398638</v>
      </c>
      <c r="U24" s="780">
        <f>'Gap Calculator'!AA59</f>
        <v>338.69613271850665</v>
      </c>
      <c r="V24" s="780">
        <f>'Gap Calculator'!AB59</f>
        <v>359.7033237513383</v>
      </c>
      <c r="W24" s="780">
        <f>'Gap Calculator'!AC59</f>
        <v>380.71051478416996</v>
      </c>
      <c r="X24" s="780">
        <f>'Gap Calculator'!AD59</f>
        <v>401.71770581700162</v>
      </c>
      <c r="Y24" s="780">
        <f>'Gap Calculator'!AE59</f>
        <v>422.72489684983321</v>
      </c>
      <c r="Z24" s="780">
        <f>'Gap Calculator'!AF59</f>
        <v>443.73208788266487</v>
      </c>
      <c r="AA24" s="780">
        <f>'Gap Calculator'!AG59</f>
        <v>0</v>
      </c>
      <c r="AB24" s="780">
        <f>'Gap Calculator'!AH59</f>
        <v>0</v>
      </c>
      <c r="AC24" s="780">
        <f>'Gap Calculator'!AI59</f>
        <v>0</v>
      </c>
      <c r="AD24" s="780">
        <f>'Gap Calculator'!AJ59</f>
        <v>0</v>
      </c>
      <c r="AE24" s="780">
        <f>'Gap Calculator'!AK59</f>
        <v>0</v>
      </c>
    </row>
    <row r="25" spans="1:32" x14ac:dyDescent="0.3">
      <c r="B25" s="125"/>
      <c r="D25" s="11" t="str">
        <f>Benefits!E24</f>
        <v>Market Price Effects - Wholesale Energy</v>
      </c>
      <c r="F25" s="779"/>
      <c r="G25" s="780">
        <f>'Gap Calculator'!M60</f>
        <v>23.035248702346333</v>
      </c>
      <c r="H25" s="780">
        <f>'Gap Calculator'!N60</f>
        <v>39.423424851736492</v>
      </c>
      <c r="I25" s="780">
        <f>'Gap Calculator'!O60</f>
        <v>54.352395858219772</v>
      </c>
      <c r="J25" s="780">
        <f>'Gap Calculator'!P60</f>
        <v>55.05125615688199</v>
      </c>
      <c r="K25" s="780">
        <f>'Gap Calculator'!Q60</f>
        <v>70.339651868814656</v>
      </c>
      <c r="L25" s="780">
        <f>'Gap Calculator'!R60</f>
        <v>63.465537245320895</v>
      </c>
      <c r="M25" s="780">
        <f>'Gap Calculator'!S60</f>
        <v>56.591422621827128</v>
      </c>
      <c r="N25" s="780">
        <f>'Gap Calculator'!T60</f>
        <v>49.717307998333368</v>
      </c>
      <c r="O25" s="780">
        <f>'Gap Calculator'!U60</f>
        <v>42.843193374839601</v>
      </c>
      <c r="P25" s="780">
        <f>'Gap Calculator'!V60</f>
        <v>35.96907875134584</v>
      </c>
      <c r="Q25" s="780">
        <f>'Gap Calculator'!W60</f>
        <v>42.163215486230513</v>
      </c>
      <c r="R25" s="780">
        <f>'Gap Calculator'!X60</f>
        <v>48.357352221115178</v>
      </c>
      <c r="S25" s="780">
        <f>'Gap Calculator'!Y60</f>
        <v>54.551488955999851</v>
      </c>
      <c r="T25" s="780">
        <f>'Gap Calculator'!Z60</f>
        <v>60.745625690884523</v>
      </c>
      <c r="U25" s="780">
        <f>'Gap Calculator'!AA60</f>
        <v>66.939762425769189</v>
      </c>
      <c r="V25" s="780">
        <f>'Gap Calculator'!AB60</f>
        <v>70.117159035893849</v>
      </c>
      <c r="W25" s="780">
        <f>'Gap Calculator'!AC60</f>
        <v>73.294555646018509</v>
      </c>
      <c r="X25" s="780">
        <f>'Gap Calculator'!AD60</f>
        <v>76.471952256143169</v>
      </c>
      <c r="Y25" s="780">
        <f>'Gap Calculator'!AE60</f>
        <v>79.649348866267829</v>
      </c>
      <c r="Z25" s="780">
        <f>'Gap Calculator'!AF60</f>
        <v>82.826745476392489</v>
      </c>
      <c r="AA25" s="780">
        <f>'Gap Calculator'!AG60</f>
        <v>0</v>
      </c>
      <c r="AB25" s="780">
        <f>'Gap Calculator'!AH60</f>
        <v>0</v>
      </c>
      <c r="AC25" s="780">
        <f>'Gap Calculator'!AI60</f>
        <v>0</v>
      </c>
      <c r="AD25" s="780">
        <f>'Gap Calculator'!AJ60</f>
        <v>0</v>
      </c>
      <c r="AE25" s="780">
        <f>'Gap Calculator'!AK60</f>
        <v>0</v>
      </c>
    </row>
    <row r="26" spans="1:32" x14ac:dyDescent="0.3">
      <c r="B26" s="125"/>
      <c r="D26" s="11" t="str">
        <f>Benefits!E25</f>
        <v>Market Price Effects - Wholesale Capacity</v>
      </c>
      <c r="F26" s="779"/>
      <c r="G26" s="780">
        <f>'Gap Calculator'!M61</f>
        <v>0</v>
      </c>
      <c r="H26" s="780">
        <f>'Gap Calculator'!N61</f>
        <v>0</v>
      </c>
      <c r="I26" s="780">
        <f>'Gap Calculator'!O61</f>
        <v>0</v>
      </c>
      <c r="J26" s="780">
        <f>'Gap Calculator'!P61</f>
        <v>0</v>
      </c>
      <c r="K26" s="780">
        <f>'Gap Calculator'!Q61</f>
        <v>0</v>
      </c>
      <c r="L26" s="780">
        <f>'Gap Calculator'!R61</f>
        <v>0</v>
      </c>
      <c r="M26" s="780">
        <f>'Gap Calculator'!S61</f>
        <v>0</v>
      </c>
      <c r="N26" s="780">
        <f>'Gap Calculator'!T61</f>
        <v>0</v>
      </c>
      <c r="O26" s="780">
        <f>'Gap Calculator'!U61</f>
        <v>0</v>
      </c>
      <c r="P26" s="780">
        <f>'Gap Calculator'!V61</f>
        <v>0</v>
      </c>
      <c r="Q26" s="780">
        <f>'Gap Calculator'!W61</f>
        <v>0</v>
      </c>
      <c r="R26" s="780">
        <f>'Gap Calculator'!X61</f>
        <v>0</v>
      </c>
      <c r="S26" s="780">
        <f>'Gap Calculator'!Y61</f>
        <v>0</v>
      </c>
      <c r="T26" s="780">
        <f>'Gap Calculator'!Z61</f>
        <v>0</v>
      </c>
      <c r="U26" s="780">
        <f>'Gap Calculator'!AA61</f>
        <v>0</v>
      </c>
      <c r="V26" s="780">
        <f>'Gap Calculator'!AB61</f>
        <v>0</v>
      </c>
      <c r="W26" s="780">
        <f>'Gap Calculator'!AC61</f>
        <v>0</v>
      </c>
      <c r="X26" s="780">
        <f>'Gap Calculator'!AD61</f>
        <v>0</v>
      </c>
      <c r="Y26" s="780">
        <f>'Gap Calculator'!AE61</f>
        <v>0</v>
      </c>
      <c r="Z26" s="780">
        <f>'Gap Calculator'!AF61</f>
        <v>0</v>
      </c>
      <c r="AA26" s="780">
        <f>'Gap Calculator'!AG61</f>
        <v>0</v>
      </c>
      <c r="AB26" s="780">
        <f>'Gap Calculator'!AH61</f>
        <v>0</v>
      </c>
      <c r="AC26" s="780">
        <f>'Gap Calculator'!AI61</f>
        <v>0</v>
      </c>
      <c r="AD26" s="780">
        <f>'Gap Calculator'!AJ61</f>
        <v>0</v>
      </c>
      <c r="AE26" s="780">
        <f>'Gap Calculator'!AK61</f>
        <v>0</v>
      </c>
    </row>
    <row r="27" spans="1:32" x14ac:dyDescent="0.3">
      <c r="B27" s="125"/>
      <c r="D27" s="11" t="str">
        <f>Benefits!E26</f>
        <v>Avoided Cost of Participant Backup Generator</v>
      </c>
      <c r="F27" s="779"/>
      <c r="G27" s="780">
        <f>'Gap Calculator'!M62</f>
        <v>2000</v>
      </c>
      <c r="H27" s="780">
        <f>'Gap Calculator'!N62</f>
        <v>0</v>
      </c>
      <c r="I27" s="780">
        <f>'Gap Calculator'!O62</f>
        <v>0</v>
      </c>
      <c r="J27" s="780">
        <f>'Gap Calculator'!P62</f>
        <v>0</v>
      </c>
      <c r="K27" s="780">
        <f>'Gap Calculator'!Q62</f>
        <v>0</v>
      </c>
      <c r="L27" s="780">
        <f>'Gap Calculator'!R62</f>
        <v>0</v>
      </c>
      <c r="M27" s="780">
        <f>'Gap Calculator'!S62</f>
        <v>0</v>
      </c>
      <c r="N27" s="780">
        <f>'Gap Calculator'!T62</f>
        <v>0</v>
      </c>
      <c r="O27" s="780">
        <f>'Gap Calculator'!U62</f>
        <v>0</v>
      </c>
      <c r="P27" s="780">
        <f>'Gap Calculator'!V62</f>
        <v>0</v>
      </c>
      <c r="Q27" s="780">
        <f>'Gap Calculator'!W62</f>
        <v>0</v>
      </c>
      <c r="R27" s="780">
        <f>'Gap Calculator'!X62</f>
        <v>0</v>
      </c>
      <c r="S27" s="780">
        <f>'Gap Calculator'!Y62</f>
        <v>0</v>
      </c>
      <c r="T27" s="780">
        <f>'Gap Calculator'!Z62</f>
        <v>0</v>
      </c>
      <c r="U27" s="780">
        <f>'Gap Calculator'!AA62</f>
        <v>0</v>
      </c>
      <c r="V27" s="780">
        <f>'Gap Calculator'!AB62</f>
        <v>0</v>
      </c>
      <c r="W27" s="780">
        <f>'Gap Calculator'!AC62</f>
        <v>0</v>
      </c>
      <c r="X27" s="780">
        <f>'Gap Calculator'!AD62</f>
        <v>0</v>
      </c>
      <c r="Y27" s="780">
        <f>'Gap Calculator'!AE62</f>
        <v>0</v>
      </c>
      <c r="Z27" s="780">
        <f>'Gap Calculator'!AF62</f>
        <v>0</v>
      </c>
      <c r="AA27" s="780">
        <f>'Gap Calculator'!AG62</f>
        <v>0</v>
      </c>
      <c r="AB27" s="780">
        <f>'Gap Calculator'!AH62</f>
        <v>0</v>
      </c>
      <c r="AC27" s="780">
        <f>'Gap Calculator'!AI62</f>
        <v>0</v>
      </c>
      <c r="AD27" s="780">
        <f>'Gap Calculator'!AJ62</f>
        <v>0</v>
      </c>
      <c r="AE27" s="780">
        <f>'Gap Calculator'!AK62</f>
        <v>0</v>
      </c>
    </row>
    <row r="28" spans="1:32" x14ac:dyDescent="0.3">
      <c r="B28" s="125"/>
      <c r="D28" s="11"/>
      <c r="F28" s="779"/>
      <c r="G28" s="780"/>
      <c r="H28" s="780"/>
      <c r="I28" s="780"/>
      <c r="J28" s="780"/>
      <c r="K28" s="780"/>
      <c r="L28" s="780"/>
      <c r="M28" s="780"/>
      <c r="N28" s="780"/>
      <c r="O28" s="780"/>
      <c r="P28" s="780"/>
      <c r="Q28" s="780"/>
      <c r="R28" s="780"/>
      <c r="S28" s="780"/>
      <c r="T28" s="780"/>
      <c r="U28" s="780"/>
      <c r="V28" s="780"/>
      <c r="W28" s="780"/>
      <c r="X28" s="780"/>
      <c r="Y28" s="780"/>
      <c r="Z28" s="780"/>
      <c r="AA28" s="780"/>
      <c r="AB28" s="780"/>
      <c r="AC28" s="780"/>
      <c r="AD28" s="780"/>
      <c r="AE28" s="780"/>
    </row>
    <row r="29" spans="1:32" s="2" customFormat="1" x14ac:dyDescent="0.3">
      <c r="B29" s="783"/>
      <c r="D29" s="784"/>
      <c r="G29" s="785"/>
      <c r="H29" s="785"/>
      <c r="I29" s="785"/>
      <c r="J29" s="785"/>
      <c r="K29" s="785"/>
      <c r="L29" s="785"/>
      <c r="M29" s="785"/>
      <c r="N29" s="785"/>
      <c r="O29" s="785"/>
      <c r="P29" s="785"/>
      <c r="Q29" s="785"/>
      <c r="R29" s="785"/>
      <c r="S29" s="785"/>
      <c r="T29" s="785"/>
      <c r="U29" s="785"/>
      <c r="V29" s="785"/>
      <c r="W29" s="785"/>
      <c r="X29" s="785"/>
      <c r="Y29" s="785"/>
      <c r="Z29" s="785"/>
      <c r="AA29" s="785"/>
      <c r="AB29" s="785"/>
      <c r="AC29" s="785"/>
      <c r="AD29" s="785"/>
      <c r="AE29" s="785"/>
    </row>
    <row r="30" spans="1:32" x14ac:dyDescent="0.3">
      <c r="A30" s="6"/>
      <c r="B30" s="32"/>
      <c r="C30" s="32"/>
      <c r="F30" s="2"/>
      <c r="G30" s="786"/>
      <c r="H30" s="786"/>
      <c r="I30" s="786"/>
      <c r="J30" s="786"/>
      <c r="K30" s="786"/>
      <c r="L30" s="786"/>
      <c r="M30" s="786"/>
      <c r="N30" s="786"/>
      <c r="O30" s="786"/>
      <c r="P30" s="786"/>
      <c r="Q30" s="786"/>
      <c r="R30" s="786"/>
      <c r="S30" s="786"/>
      <c r="T30" s="786"/>
      <c r="U30" s="786"/>
      <c r="V30" s="786"/>
      <c r="W30" s="786"/>
      <c r="X30" s="786"/>
      <c r="Y30" s="786"/>
      <c r="Z30" s="786"/>
      <c r="AA30" s="786"/>
      <c r="AB30" s="786"/>
      <c r="AC30" s="786"/>
      <c r="AD30" s="786"/>
      <c r="AE30" s="786"/>
    </row>
    <row r="31" spans="1:32" x14ac:dyDescent="0.3">
      <c r="B31" s="125"/>
      <c r="D31" s="11"/>
      <c r="F31" s="779"/>
      <c r="G31" s="780"/>
      <c r="H31" s="780"/>
      <c r="I31" s="780"/>
      <c r="J31" s="780"/>
      <c r="K31" s="780"/>
      <c r="L31" s="780"/>
      <c r="M31" s="780"/>
      <c r="N31" s="780"/>
      <c r="O31" s="780"/>
      <c r="P31" s="780"/>
      <c r="Q31" s="780"/>
      <c r="R31" s="780"/>
      <c r="S31" s="780"/>
      <c r="T31" s="780"/>
      <c r="U31" s="780"/>
      <c r="V31" s="780"/>
      <c r="W31" s="780"/>
      <c r="X31" s="780"/>
      <c r="Y31" s="780"/>
      <c r="Z31" s="780"/>
      <c r="AA31" s="780"/>
      <c r="AB31" s="780"/>
      <c r="AC31" s="780"/>
      <c r="AD31" s="780"/>
      <c r="AE31" s="780"/>
    </row>
    <row r="32" spans="1:32" x14ac:dyDescent="0.3">
      <c r="A32" s="6"/>
      <c r="B32" s="32"/>
      <c r="C32" s="32"/>
      <c r="D32" t="s">
        <v>288</v>
      </c>
      <c r="F32" s="2"/>
      <c r="G32" s="787">
        <v>0</v>
      </c>
      <c r="H32" s="787">
        <v>0</v>
      </c>
      <c r="I32" s="787">
        <v>0</v>
      </c>
      <c r="J32" s="787">
        <v>0</v>
      </c>
      <c r="K32" s="787">
        <v>0</v>
      </c>
      <c r="L32" s="787">
        <v>0</v>
      </c>
      <c r="M32" s="787">
        <v>0</v>
      </c>
      <c r="N32" s="787">
        <v>0</v>
      </c>
      <c r="O32" s="787">
        <v>0</v>
      </c>
      <c r="P32" s="787">
        <v>0</v>
      </c>
      <c r="Q32" s="787">
        <v>0</v>
      </c>
      <c r="R32" s="787">
        <v>0</v>
      </c>
      <c r="S32" s="787">
        <v>0</v>
      </c>
      <c r="T32" s="787">
        <v>0</v>
      </c>
      <c r="U32" s="787">
        <v>0</v>
      </c>
      <c r="V32" s="787">
        <v>0</v>
      </c>
      <c r="W32" s="787">
        <v>0</v>
      </c>
      <c r="X32" s="787">
        <v>0</v>
      </c>
      <c r="Y32" s="787">
        <v>0</v>
      </c>
      <c r="Z32" s="787">
        <v>0</v>
      </c>
      <c r="AA32" s="787">
        <v>0</v>
      </c>
      <c r="AB32" s="787">
        <v>0</v>
      </c>
      <c r="AC32" s="787">
        <v>0</v>
      </c>
      <c r="AD32" s="787">
        <v>0</v>
      </c>
      <c r="AE32" s="787">
        <v>0</v>
      </c>
    </row>
    <row r="33" spans="1:31" x14ac:dyDescent="0.3">
      <c r="A33" s="6"/>
      <c r="B33" s="32"/>
      <c r="C33" s="32"/>
      <c r="F33" s="2"/>
      <c r="G33" s="786"/>
      <c r="H33" s="786"/>
      <c r="I33" s="786"/>
      <c r="J33" s="786"/>
      <c r="K33" s="786"/>
      <c r="L33" s="786"/>
      <c r="M33" s="786"/>
      <c r="N33" s="786"/>
      <c r="O33" s="786"/>
      <c r="P33" s="786"/>
      <c r="Q33" s="786"/>
      <c r="R33" s="786"/>
      <c r="S33" s="786"/>
      <c r="T33" s="786"/>
      <c r="U33" s="786"/>
      <c r="V33" s="786"/>
      <c r="W33" s="786"/>
      <c r="X33" s="786"/>
      <c r="Y33" s="786"/>
      <c r="Z33" s="786"/>
      <c r="AA33" s="786"/>
      <c r="AB33" s="786"/>
      <c r="AC33" s="786"/>
      <c r="AD33" s="786"/>
      <c r="AE33" s="786"/>
    </row>
    <row r="34" spans="1:31" x14ac:dyDescent="0.3">
      <c r="B34" s="772"/>
      <c r="C34" s="128" t="s">
        <v>289</v>
      </c>
      <c r="F34" s="788">
        <f>SUMPRODUCT($G34:$AE34,$G$5:$AE$5)/SUMPRODUCT($G$5:$AE$5)</f>
        <v>1294.3501117063181</v>
      </c>
      <c r="G34" s="789">
        <f>SUM(G9:G32)</f>
        <v>3002.6560790903977</v>
      </c>
      <c r="H34" s="789">
        <f t="shared" ref="H34:AE34" si="3">SUM(H9:H32)</f>
        <v>969.8463346639362</v>
      </c>
      <c r="I34" s="789">
        <f t="shared" si="3"/>
        <v>848.39798122317279</v>
      </c>
      <c r="J34" s="789">
        <f t="shared" si="3"/>
        <v>889.9459353786533</v>
      </c>
      <c r="K34" s="789">
        <f t="shared" si="3"/>
        <v>941.06552288199987</v>
      </c>
      <c r="L34" s="789">
        <f t="shared" si="3"/>
        <v>966.89417760271601</v>
      </c>
      <c r="M34" s="789">
        <f t="shared" si="3"/>
        <v>992.72283232343227</v>
      </c>
      <c r="N34" s="789">
        <f t="shared" si="3"/>
        <v>1018.5514870441484</v>
      </c>
      <c r="O34" s="789">
        <f>SUM(O9:O32)</f>
        <v>1044.3801417648647</v>
      </c>
      <c r="P34" s="789">
        <f>SUM(P9:P32)</f>
        <v>1070.2087964855809</v>
      </c>
      <c r="Q34" s="789">
        <f t="shared" si="3"/>
        <v>1128.4050797775353</v>
      </c>
      <c r="R34" s="789">
        <f t="shared" si="3"/>
        <v>1186.6013630694899</v>
      </c>
      <c r="S34" s="789">
        <f t="shared" si="3"/>
        <v>1244.7976463614445</v>
      </c>
      <c r="T34" s="789">
        <f t="shared" si="3"/>
        <v>1302.9939296533989</v>
      </c>
      <c r="U34" s="789">
        <f t="shared" si="3"/>
        <v>1361.1902129453536</v>
      </c>
      <c r="V34" s="789">
        <f t="shared" si="3"/>
        <v>1411.7700763604128</v>
      </c>
      <c r="W34" s="789">
        <f t="shared" si="3"/>
        <v>1462.3499397754722</v>
      </c>
      <c r="X34" s="789">
        <f t="shared" si="3"/>
        <v>1512.9298031905312</v>
      </c>
      <c r="Y34" s="789">
        <f t="shared" si="3"/>
        <v>1563.5096666055904</v>
      </c>
      <c r="Z34" s="789">
        <f t="shared" si="3"/>
        <v>1614.0895300206498</v>
      </c>
      <c r="AA34" s="789">
        <f t="shared" si="3"/>
        <v>0</v>
      </c>
      <c r="AB34" s="789">
        <f t="shared" si="3"/>
        <v>0</v>
      </c>
      <c r="AC34" s="789">
        <f t="shared" si="3"/>
        <v>0</v>
      </c>
      <c r="AD34" s="789">
        <f t="shared" si="3"/>
        <v>0</v>
      </c>
      <c r="AE34" s="789">
        <f t="shared" si="3"/>
        <v>0</v>
      </c>
    </row>
    <row r="35" spans="1:31" x14ac:dyDescent="0.3">
      <c r="E35" s="2"/>
      <c r="H35" s="790">
        <f>H34/G34-1</f>
        <v>-0.67700385621328496</v>
      </c>
      <c r="I35" s="790">
        <f t="shared" ref="I35:Z35" si="4">I34/H34-1</f>
        <v>-0.1252243258545146</v>
      </c>
      <c r="J35" s="790">
        <f t="shared" si="4"/>
        <v>4.897224542611367E-2</v>
      </c>
      <c r="K35" s="790">
        <f t="shared" si="4"/>
        <v>5.7441228136624112E-2</v>
      </c>
      <c r="L35" s="790">
        <f>L34/K34-1</f>
        <v>2.7446181049770368E-2</v>
      </c>
      <c r="M35" s="790">
        <f t="shared" si="4"/>
        <v>2.6713010915791147E-2</v>
      </c>
      <c r="N35" s="790">
        <f t="shared" si="4"/>
        <v>2.6017992011189151E-2</v>
      </c>
      <c r="O35" s="790">
        <f t="shared" si="4"/>
        <v>2.5358221993933228E-2</v>
      </c>
      <c r="P35" s="790">
        <f t="shared" si="4"/>
        <v>2.4731085634268402E-2</v>
      </c>
      <c r="Q35" s="790">
        <f t="shared" si="4"/>
        <v>5.4378438565505061E-2</v>
      </c>
      <c r="R35" s="790">
        <f t="shared" si="4"/>
        <v>5.1573928844265815E-2</v>
      </c>
      <c r="S35" s="790">
        <f t="shared" si="4"/>
        <v>4.9044510737298541E-2</v>
      </c>
      <c r="T35" s="790">
        <f t="shared" si="4"/>
        <v>4.6751601324169112E-2</v>
      </c>
      <c r="U35" s="790">
        <f t="shared" si="4"/>
        <v>4.4663510679159524E-2</v>
      </c>
      <c r="V35" s="790">
        <f t="shared" si="4"/>
        <v>3.7158556485367367E-2</v>
      </c>
      <c r="W35" s="790">
        <f t="shared" si="4"/>
        <v>3.5827266962235038E-2</v>
      </c>
      <c r="X35" s="790">
        <f t="shared" si="4"/>
        <v>3.4588070911963031E-2</v>
      </c>
      <c r="Y35" s="790">
        <f t="shared" si="4"/>
        <v>3.3431731801696341E-2</v>
      </c>
      <c r="Z35" s="790">
        <f t="shared" si="4"/>
        <v>3.235020831362645E-2</v>
      </c>
      <c r="AA35" s="790">
        <f>AA34/Z34-1</f>
        <v>-1</v>
      </c>
      <c r="AB35" s="790" t="e">
        <f>AB34/AA34-1</f>
        <v>#DIV/0!</v>
      </c>
      <c r="AC35" s="790" t="e">
        <f>AC34/AB34-1</f>
        <v>#DIV/0!</v>
      </c>
      <c r="AD35" s="790" t="e">
        <f>AD34/AC34-1</f>
        <v>#DIV/0!</v>
      </c>
      <c r="AE35" s="790" t="e">
        <f>AE34/AD34-1</f>
        <v>#DIV/0!</v>
      </c>
    </row>
    <row r="36" spans="1:31" ht="15" thickBot="1" x14ac:dyDescent="0.35">
      <c r="B36" s="777" t="s">
        <v>290</v>
      </c>
      <c r="C36" s="777"/>
      <c r="D36" s="124"/>
      <c r="E36" s="124"/>
      <c r="F36" s="124"/>
      <c r="G36" s="791"/>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row>
    <row r="37" spans="1:31" x14ac:dyDescent="0.3">
      <c r="B37" s="2"/>
      <c r="C37" s="2" t="s">
        <v>291</v>
      </c>
    </row>
    <row r="38" spans="1:31" x14ac:dyDescent="0.3">
      <c r="B38" s="2"/>
      <c r="C38" s="2"/>
      <c r="D38" t="s">
        <v>169</v>
      </c>
      <c r="G38" s="792">
        <f>-'Fin Inputs'!$V$10 * (G$2&lt;=investmentTerm)</f>
        <v>0</v>
      </c>
      <c r="H38" s="793">
        <f>G38*(1+'Fin Inputs'!$V$11) * (H$2&lt;=investmentTerm)</f>
        <v>0</v>
      </c>
      <c r="I38" s="793">
        <f>H38*(1+'Fin Inputs'!$V$11) * (I$2&lt;=investmentTerm)</f>
        <v>0</v>
      </c>
      <c r="J38" s="793">
        <f>I38*(1+'Fin Inputs'!$V$11) * (J$2&lt;=investmentTerm)</f>
        <v>0</v>
      </c>
      <c r="K38" s="793">
        <f>J38*(1+'Fin Inputs'!$V$11) * (K$2&lt;=investmentTerm)</f>
        <v>0</v>
      </c>
      <c r="L38" s="793">
        <f>K38*(1+'Fin Inputs'!$V$11) * (L$2&lt;=investmentTerm)</f>
        <v>0</v>
      </c>
      <c r="M38" s="793">
        <f>L38*(1+'Fin Inputs'!$V$11) * (M$2&lt;=investmentTerm)</f>
        <v>0</v>
      </c>
      <c r="N38" s="793">
        <f>M38*(1+'Fin Inputs'!$V$11) * (N$2&lt;=investmentTerm)</f>
        <v>0</v>
      </c>
      <c r="O38" s="793">
        <f>N38*(1+'Fin Inputs'!$V$11) * (O$2&lt;=investmentTerm)</f>
        <v>0</v>
      </c>
      <c r="P38" s="793">
        <f>O38*(1+'Fin Inputs'!$V$11) * (P$2&lt;=investmentTerm)</f>
        <v>0</v>
      </c>
      <c r="Q38" s="793">
        <f>P38*(1+'Fin Inputs'!$V$11) * (Q$2&lt;=investmentTerm)</f>
        <v>0</v>
      </c>
      <c r="R38" s="793">
        <f>Q38*(1+'Fin Inputs'!$V$11) * (R$2&lt;=investmentTerm)</f>
        <v>0</v>
      </c>
      <c r="S38" s="793">
        <f>R38*(1+'Fin Inputs'!$V$11) * (S$2&lt;=investmentTerm)</f>
        <v>0</v>
      </c>
      <c r="T38" s="793">
        <f>S38*(1+'Fin Inputs'!$V$11) * (T$2&lt;=investmentTerm)</f>
        <v>0</v>
      </c>
      <c r="U38" s="793">
        <f>T38*(1+'Fin Inputs'!$V$11) * (U$2&lt;=investmentTerm)</f>
        <v>0</v>
      </c>
      <c r="V38" s="793">
        <f>U38*(1+'Fin Inputs'!$V$11) * (V$2&lt;=investmentTerm)</f>
        <v>0</v>
      </c>
      <c r="W38" s="793">
        <f>V38*(1+'Fin Inputs'!$V$11) * (W$2&lt;=investmentTerm)</f>
        <v>0</v>
      </c>
      <c r="X38" s="793">
        <f>W38*(1+'Fin Inputs'!$V$11) * (X$2&lt;=investmentTerm)</f>
        <v>0</v>
      </c>
      <c r="Y38" s="793">
        <f>X38*(1+'Fin Inputs'!$V$11) * (Y$2&lt;=investmentTerm)</f>
        <v>0</v>
      </c>
      <c r="Z38" s="793">
        <f>Y38*(1+'Fin Inputs'!$V$11) * (Z$2&lt;=investmentTerm)</f>
        <v>0</v>
      </c>
      <c r="AA38" s="793">
        <f>Z38*(1+'Fin Inputs'!$V$11) * (AA$2&lt;=investmentTerm)</f>
        <v>0</v>
      </c>
      <c r="AB38" s="793">
        <f>AA38*(1+'Fin Inputs'!$V$11) * (AB$2&lt;=investmentTerm)</f>
        <v>0</v>
      </c>
      <c r="AC38" s="793">
        <f>AB38*(1+'Fin Inputs'!$V$11) * (AC$2&lt;=investmentTerm)</f>
        <v>0</v>
      </c>
      <c r="AD38" s="793">
        <f>AC38*(1+'Fin Inputs'!$V$11) * (AD$2&lt;=investmentTerm)</f>
        <v>0</v>
      </c>
      <c r="AE38" s="793">
        <f>AD38*(1+'Fin Inputs'!$V$11) * (AE$2&lt;=investmentTerm)</f>
        <v>0</v>
      </c>
    </row>
    <row r="39" spans="1:31" s="794" customFormat="1" x14ac:dyDescent="0.3">
      <c r="A39"/>
      <c r="B39"/>
      <c r="C39"/>
      <c r="D39" t="s">
        <v>106</v>
      </c>
      <c r="E39"/>
      <c r="F39"/>
      <c r="G39" s="792">
        <f>-'Fin Inputs'!V13 * (G$2&lt;=investmentTerm)</f>
        <v>-385</v>
      </c>
      <c r="H39" s="794">
        <f>-'Fin Inputs'!V14 * (H$2&lt;=investmentTerm)</f>
        <v>-385</v>
      </c>
      <c r="I39" s="794">
        <f>-'Fin Inputs'!$V$15 * (I$2&lt;=investmentTerm)</f>
        <v>-385</v>
      </c>
      <c r="J39" s="794">
        <f>I39*(1+'Fin Inputs'!$V$16) * (J$2&lt;=investmentTerm)</f>
        <v>-392.7</v>
      </c>
      <c r="K39" s="794">
        <f>J39*(1+'Fin Inputs'!$V$16) * (K$2&lt;=investmentTerm)</f>
        <v>-400.55399999999997</v>
      </c>
      <c r="L39" s="794">
        <f>K39*(1+'Fin Inputs'!$V$16) * (L$2&lt;=investmentTerm)</f>
        <v>-408.56507999999997</v>
      </c>
      <c r="M39" s="794">
        <f>L39*(1+'Fin Inputs'!$V$16) * (M$2&lt;=investmentTerm)</f>
        <v>-416.73638159999996</v>
      </c>
      <c r="N39" s="794">
        <f>M39*(1+'Fin Inputs'!$V$16) * (N$2&lt;=investmentTerm)</f>
        <v>-425.07110923199997</v>
      </c>
      <c r="O39" s="794">
        <f>N39*(1+'Fin Inputs'!$V$16) * (O$2&lt;=investmentTerm)</f>
        <v>-433.57253141664</v>
      </c>
      <c r="P39" s="794">
        <f>O39*(1+'Fin Inputs'!$V$16) * (P$2&lt;=investmentTerm)</f>
        <v>-442.24398204497282</v>
      </c>
      <c r="Q39" s="794">
        <f>P39*(1+'Fin Inputs'!$V$16) * (Q$2&lt;=investmentTerm)</f>
        <v>-451.0888616858723</v>
      </c>
      <c r="R39" s="794">
        <f>Q39*(1+'Fin Inputs'!$V$16) * (R$2&lt;=investmentTerm)</f>
        <v>-460.11063891958975</v>
      </c>
      <c r="S39" s="794">
        <f>R39*(1+'Fin Inputs'!$V$16) * (S$2&lt;=investmentTerm)</f>
        <v>-469.31285169798156</v>
      </c>
      <c r="T39" s="794">
        <f>S39*(1+'Fin Inputs'!$V$16) * (T$2&lt;=investmentTerm)</f>
        <v>-478.69910873194118</v>
      </c>
      <c r="U39" s="794">
        <f>T39*(1+'Fin Inputs'!$V$16) * (U$2&lt;=investmentTerm)</f>
        <v>-488.27309090658002</v>
      </c>
      <c r="V39" s="794">
        <f>U39*(1+'Fin Inputs'!$V$16) * (V$2&lt;=investmentTerm)</f>
        <v>-498.03855272471162</v>
      </c>
      <c r="W39" s="794">
        <f>V39*(1+'Fin Inputs'!$V$16) * (W$2&lt;=investmentTerm)</f>
        <v>-507.99932377920584</v>
      </c>
      <c r="X39" s="794">
        <f>W39*(1+'Fin Inputs'!$V$16) * (X$2&lt;=investmentTerm)</f>
        <v>-518.15931025478994</v>
      </c>
      <c r="Y39" s="794">
        <f>X39*(1+'Fin Inputs'!$V$16) * (Y$2&lt;=investmentTerm)</f>
        <v>-528.5224964598857</v>
      </c>
      <c r="Z39" s="794">
        <f>Y39*(1+'Fin Inputs'!$V$16) * (Z$2&lt;=investmentTerm)</f>
        <v>-539.09294638908341</v>
      </c>
      <c r="AA39" s="794">
        <f>Z39*(1+'Fin Inputs'!$V$16) * (AA$2&lt;=investmentTerm)</f>
        <v>0</v>
      </c>
      <c r="AB39" s="794">
        <f>AA39*(1+'Fin Inputs'!$V$16) * (AB$2&lt;=investmentTerm)</f>
        <v>0</v>
      </c>
      <c r="AC39" s="794">
        <f>AB39*(1+'Fin Inputs'!$V$16) * (AC$2&lt;=investmentTerm)</f>
        <v>0</v>
      </c>
      <c r="AD39" s="794">
        <f>AC39*(1+'Fin Inputs'!$V$16) * (AD$2&lt;=investmentTerm)</f>
        <v>0</v>
      </c>
      <c r="AE39" s="794">
        <f>AD39*(1+'Fin Inputs'!$V$16) * (AE$2&lt;=investmentTerm)</f>
        <v>0</v>
      </c>
    </row>
    <row r="40" spans="1:31" s="794" customFormat="1" x14ac:dyDescent="0.3">
      <c r="A40"/>
      <c r="B40"/>
      <c r="C40"/>
      <c r="D40" t="s">
        <v>191</v>
      </c>
      <c r="E40"/>
      <c r="F40"/>
      <c r="G40" s="792">
        <f>-'Fin Inputs'!V17* (G$2&lt;=investmentTerm)</f>
        <v>0</v>
      </c>
      <c r="H40" s="794">
        <f>G40*(1+'Fin Inputs'!$V$18)* (H$2&lt;=investmentTerm)</f>
        <v>0</v>
      </c>
      <c r="I40" s="794">
        <f>H40*(1+'Fin Inputs'!$V$18)* (I$2&lt;=investmentTerm)</f>
        <v>0</v>
      </c>
      <c r="J40" s="794">
        <f>I40*(1+'Fin Inputs'!$V$18)* (J$2&lt;=investmentTerm)</f>
        <v>0</v>
      </c>
      <c r="K40" s="794">
        <f>J40*(1+'Fin Inputs'!$V$18)* (K$2&lt;=investmentTerm)</f>
        <v>0</v>
      </c>
      <c r="L40" s="794">
        <f>K40*(1+'Fin Inputs'!$V$18)* (L$2&lt;=investmentTerm)</f>
        <v>0</v>
      </c>
      <c r="M40" s="794">
        <f>L40*(1+'Fin Inputs'!$V$18)* (M$2&lt;=investmentTerm)</f>
        <v>0</v>
      </c>
      <c r="N40" s="794">
        <f>M40*(1+'Fin Inputs'!$V$18)* (N$2&lt;=investmentTerm)</f>
        <v>0</v>
      </c>
      <c r="O40" s="794">
        <f>N40*(1+'Fin Inputs'!$V$18)* (O$2&lt;=investmentTerm)</f>
        <v>0</v>
      </c>
      <c r="P40" s="794">
        <f>O40*(1+'Fin Inputs'!$V$18)* (P$2&lt;=investmentTerm)</f>
        <v>0</v>
      </c>
      <c r="Q40" s="794">
        <f>P40*(1+'Fin Inputs'!$V$18)* (Q$2&lt;=investmentTerm)</f>
        <v>0</v>
      </c>
      <c r="R40" s="794">
        <f>Q40*(1+'Fin Inputs'!$V$18)* (R$2&lt;=investmentTerm)</f>
        <v>0</v>
      </c>
      <c r="S40" s="794">
        <f>R40*(1+'Fin Inputs'!$V$18)* (S$2&lt;=investmentTerm)</f>
        <v>0</v>
      </c>
      <c r="T40" s="794">
        <f>S40*(1+'Fin Inputs'!$V$18)* (T$2&lt;=investmentTerm)</f>
        <v>0</v>
      </c>
      <c r="U40" s="794">
        <f>T40*(1+'Fin Inputs'!$V$18)* (U$2&lt;=investmentTerm)</f>
        <v>0</v>
      </c>
      <c r="V40" s="794">
        <f>U40*(1+'Fin Inputs'!$V$18)* (V$2&lt;=investmentTerm)</f>
        <v>0</v>
      </c>
      <c r="W40" s="794">
        <f>V40*(1+'Fin Inputs'!$V$18)* (W$2&lt;=investmentTerm)</f>
        <v>0</v>
      </c>
      <c r="X40" s="794">
        <f>W40*(1+'Fin Inputs'!$V$18)* (X$2&lt;=investmentTerm)</f>
        <v>0</v>
      </c>
      <c r="Y40" s="794">
        <f>X40*(1+'Fin Inputs'!$V$18)* (Y$2&lt;=investmentTerm)</f>
        <v>0</v>
      </c>
      <c r="Z40" s="794">
        <f>Y40*(1+'Fin Inputs'!$V$18)* (Z$2&lt;=investmentTerm)</f>
        <v>0</v>
      </c>
      <c r="AA40" s="794">
        <f>Z40*(1+'Fin Inputs'!$V$18)* (AA$2&lt;=investmentTerm)</f>
        <v>0</v>
      </c>
      <c r="AB40" s="794">
        <f>AA40*(1+'Fin Inputs'!$V$18)* (AB$2&lt;=investmentTerm)</f>
        <v>0</v>
      </c>
      <c r="AC40" s="794">
        <f>AB40*(1+'Fin Inputs'!$V$18)* (AC$2&lt;=investmentTerm)</f>
        <v>0</v>
      </c>
      <c r="AD40" s="794">
        <f>AC40*(1+'Fin Inputs'!$V$18)* (AD$2&lt;=investmentTerm)</f>
        <v>0</v>
      </c>
      <c r="AE40" s="794">
        <f>AD40*(1+'Fin Inputs'!$V$18)* (AE$2&lt;=investmentTerm)</f>
        <v>0</v>
      </c>
    </row>
    <row r="41" spans="1:31" s="794" customFormat="1" x14ac:dyDescent="0.3">
      <c r="A41"/>
      <c r="B41"/>
      <c r="C41"/>
      <c r="D41" t="s">
        <v>292</v>
      </c>
      <c r="E41"/>
      <c r="F41"/>
      <c r="G41" s="792">
        <f>-'Fin Inputs'!$V$19 * (G$2&lt;=investmentTerm)</f>
        <v>0</v>
      </c>
      <c r="H41" s="794">
        <f>G41*(1+'Fin Inputs'!$V$20) * (H$2&lt;=investmentTerm)</f>
        <v>0</v>
      </c>
      <c r="I41" s="794">
        <f>H41*(1+'Fin Inputs'!$V$20) * (I$2&lt;=investmentTerm)</f>
        <v>0</v>
      </c>
      <c r="J41" s="794">
        <f>I41*(1+'Fin Inputs'!$V$20) * (J$2&lt;=investmentTerm)</f>
        <v>0</v>
      </c>
      <c r="K41" s="794">
        <f>J41*(1+'Fin Inputs'!$V$20) * (K$2&lt;=investmentTerm)</f>
        <v>0</v>
      </c>
      <c r="L41" s="794">
        <f>K41*(1+'Fin Inputs'!$V$20) * (L$2&lt;=investmentTerm)</f>
        <v>0</v>
      </c>
      <c r="M41" s="794">
        <f>L41*(1+'Fin Inputs'!$V$20) * (M$2&lt;=investmentTerm)</f>
        <v>0</v>
      </c>
      <c r="N41" s="794">
        <f>M41*(1+'Fin Inputs'!$V$20) * (N$2&lt;=investmentTerm)</f>
        <v>0</v>
      </c>
      <c r="O41" s="794">
        <f>N41*(1+'Fin Inputs'!$V$20) * (O$2&lt;=investmentTerm)</f>
        <v>0</v>
      </c>
      <c r="P41" s="794">
        <f>O41*(1+'Fin Inputs'!$V$20) * (P$2&lt;=investmentTerm)</f>
        <v>0</v>
      </c>
      <c r="Q41" s="794">
        <f>P41*(1+'Fin Inputs'!$V$20) * (Q$2&lt;=investmentTerm)</f>
        <v>0</v>
      </c>
      <c r="R41" s="794">
        <f>Q41*(1+'Fin Inputs'!$V$20) * (R$2&lt;=investmentTerm)</f>
        <v>0</v>
      </c>
      <c r="S41" s="794">
        <f>R41*(1+'Fin Inputs'!$V$20) * (S$2&lt;=investmentTerm)</f>
        <v>0</v>
      </c>
      <c r="T41" s="794">
        <f>S41*(1+'Fin Inputs'!$V$20) * (T$2&lt;=investmentTerm)</f>
        <v>0</v>
      </c>
      <c r="U41" s="794">
        <f>T41*(1+'Fin Inputs'!$V$20) * (U$2&lt;=investmentTerm)</f>
        <v>0</v>
      </c>
      <c r="V41" s="794">
        <f>U41*(1+'Fin Inputs'!$V$20) * (V$2&lt;=investmentTerm)</f>
        <v>0</v>
      </c>
      <c r="W41" s="794">
        <f>V41*(1+'Fin Inputs'!$V$20) * (W$2&lt;=investmentTerm)</f>
        <v>0</v>
      </c>
      <c r="X41" s="794">
        <f>W41*(1+'Fin Inputs'!$V$20) * (X$2&lt;=investmentTerm)</f>
        <v>0</v>
      </c>
      <c r="Y41" s="794">
        <f>X41*(1+'Fin Inputs'!$V$20) * (Y$2&lt;=investmentTerm)</f>
        <v>0</v>
      </c>
      <c r="Z41" s="794">
        <f>Y41*(1+'Fin Inputs'!$V$20) * (Z$2&lt;=investmentTerm)</f>
        <v>0</v>
      </c>
      <c r="AA41" s="794">
        <f>Z41*(1+'Fin Inputs'!$V$20) * (AA$2&lt;=investmentTerm)</f>
        <v>0</v>
      </c>
      <c r="AB41" s="794">
        <f>AA41*(1+'Fin Inputs'!$V$20) * (AB$2&lt;=investmentTerm)</f>
        <v>0</v>
      </c>
      <c r="AC41" s="794">
        <f>AB41*(1+'Fin Inputs'!$V$20) * (AC$2&lt;=investmentTerm)</f>
        <v>0</v>
      </c>
      <c r="AD41" s="794">
        <f>AC41*(1+'Fin Inputs'!$V$20) * (AD$2&lt;=investmentTerm)</f>
        <v>0</v>
      </c>
      <c r="AE41" s="794">
        <f>AD41*(1+'Fin Inputs'!$V$20) * (AE$2&lt;=investmentTerm)</f>
        <v>0</v>
      </c>
    </row>
    <row r="42" spans="1:31" s="794" customFormat="1" x14ac:dyDescent="0.3">
      <c r="A42"/>
      <c r="B42"/>
      <c r="C42"/>
      <c r="D42" t="s">
        <v>203</v>
      </c>
      <c r="E42"/>
      <c r="F42"/>
      <c r="G42" s="792">
        <f>-'Fin Inputs'!$V$21 * (G$2&lt;=investmentTerm)</f>
        <v>0</v>
      </c>
      <c r="H42" s="794">
        <f>G42*(1+'Fin Inputs'!$V$22)* (H$2&lt;=investmentTerm)</f>
        <v>0</v>
      </c>
      <c r="I42" s="794">
        <f>H42*(1+'Fin Inputs'!$V$22)* (I$2&lt;=investmentTerm)</f>
        <v>0</v>
      </c>
      <c r="J42" s="794">
        <f>I42*(1+'Fin Inputs'!$V$22)* (J$2&lt;=investmentTerm)</f>
        <v>0</v>
      </c>
      <c r="K42" s="794">
        <f>J42*(1+'Fin Inputs'!$V$22)* (K$2&lt;=investmentTerm)</f>
        <v>0</v>
      </c>
      <c r="L42" s="794">
        <f>K42*(1+'Fin Inputs'!$V$22)* (L$2&lt;=investmentTerm)</f>
        <v>0</v>
      </c>
      <c r="M42" s="794">
        <f>L42*(1+'Fin Inputs'!$V$22)* (M$2&lt;=investmentTerm)</f>
        <v>0</v>
      </c>
      <c r="N42" s="794">
        <f>M42*(1+'Fin Inputs'!$V$22)* (N$2&lt;=investmentTerm)</f>
        <v>0</v>
      </c>
      <c r="O42" s="794">
        <f>N42*(1+'Fin Inputs'!$V$22)* (O$2&lt;=investmentTerm)</f>
        <v>0</v>
      </c>
      <c r="P42" s="794">
        <f>O42*(1+'Fin Inputs'!$V$22)* (P$2&lt;=investmentTerm)</f>
        <v>0</v>
      </c>
      <c r="Q42" s="794">
        <f>P42*(1+'Fin Inputs'!$V$22)* (Q$2&lt;=investmentTerm)</f>
        <v>0</v>
      </c>
      <c r="R42" s="794">
        <f>Q42*(1+'Fin Inputs'!$V$22)* (R$2&lt;=investmentTerm)</f>
        <v>0</v>
      </c>
      <c r="S42" s="794">
        <f>R42*(1+'Fin Inputs'!$V$22)* (S$2&lt;=investmentTerm)</f>
        <v>0</v>
      </c>
      <c r="T42" s="794">
        <f>S42*(1+'Fin Inputs'!$V$22)* (T$2&lt;=investmentTerm)</f>
        <v>0</v>
      </c>
      <c r="U42" s="794">
        <f>T42*(1+'Fin Inputs'!$V$22)* (U$2&lt;=investmentTerm)</f>
        <v>0</v>
      </c>
      <c r="V42" s="794">
        <f>U42*(1+'Fin Inputs'!$V$22)* (V$2&lt;=investmentTerm)</f>
        <v>0</v>
      </c>
      <c r="W42" s="794">
        <f>V42*(1+'Fin Inputs'!$V$22)* (W$2&lt;=investmentTerm)</f>
        <v>0</v>
      </c>
      <c r="X42" s="794">
        <f>W42*(1+'Fin Inputs'!$V$22)* (X$2&lt;=investmentTerm)</f>
        <v>0</v>
      </c>
      <c r="Y42" s="794">
        <f>X42*(1+'Fin Inputs'!$V$22)* (Y$2&lt;=investmentTerm)</f>
        <v>0</v>
      </c>
      <c r="Z42" s="794">
        <f>Y42*(1+'Fin Inputs'!$V$22)* (Z$2&lt;=investmentTerm)</f>
        <v>0</v>
      </c>
      <c r="AA42" s="794">
        <f>Z42*(1+'Fin Inputs'!$V$22)* (AA$2&lt;=investmentTerm)</f>
        <v>0</v>
      </c>
      <c r="AB42" s="794">
        <f>AA42*(1+'Fin Inputs'!$V$22)* (AB$2&lt;=investmentTerm)</f>
        <v>0</v>
      </c>
      <c r="AC42" s="794">
        <f>AB42*(1+'Fin Inputs'!$V$22)* (AC$2&lt;=investmentTerm)</f>
        <v>0</v>
      </c>
      <c r="AD42" s="794">
        <f>AC42*(1+'Fin Inputs'!$V$22)* (AD$2&lt;=investmentTerm)</f>
        <v>0</v>
      </c>
      <c r="AE42" s="794">
        <f>AD42*(1+'Fin Inputs'!$V$22)* (AE$2&lt;=investmentTerm)</f>
        <v>0</v>
      </c>
    </row>
    <row r="43" spans="1:31" s="794" customFormat="1" x14ac:dyDescent="0.3">
      <c r="A43"/>
      <c r="B43"/>
      <c r="C43"/>
      <c r="D43" t="s">
        <v>207</v>
      </c>
      <c r="E43"/>
      <c r="F43"/>
      <c r="G43" s="792">
        <f>-'Fin Inputs'!$V$23  * (G$2&lt;=investmentTerm)</f>
        <v>0</v>
      </c>
      <c r="H43" s="794">
        <f>G43*(1+'Fin Inputs'!$V$24)  * (H$2&lt;=investmentTerm)</f>
        <v>0</v>
      </c>
      <c r="I43" s="794">
        <f>H43*(1+'Fin Inputs'!$V$24)  * (I$2&lt;=investmentTerm)</f>
        <v>0</v>
      </c>
      <c r="J43" s="794">
        <f>I43*(1+'Fin Inputs'!$V$24)  * (J$2&lt;=investmentTerm)</f>
        <v>0</v>
      </c>
      <c r="K43" s="794">
        <f>J43*(1+'Fin Inputs'!$V$24)  * (K$2&lt;=investmentTerm)</f>
        <v>0</v>
      </c>
      <c r="L43" s="794">
        <f>K43*(1+'Fin Inputs'!$V$24)  * (L$2&lt;=investmentTerm)</f>
        <v>0</v>
      </c>
      <c r="M43" s="794">
        <f>L43*(1+'Fin Inputs'!$V$24)  * (M$2&lt;=investmentTerm)</f>
        <v>0</v>
      </c>
      <c r="N43" s="794">
        <f>M43*(1+'Fin Inputs'!$V$24)  * (N$2&lt;=investmentTerm)</f>
        <v>0</v>
      </c>
      <c r="O43" s="794">
        <f>N43*(1+'Fin Inputs'!$V$24)  * (O$2&lt;=investmentTerm)</f>
        <v>0</v>
      </c>
      <c r="P43" s="794">
        <f>O43*(1+'Fin Inputs'!$V$24)  * (P$2&lt;=investmentTerm)</f>
        <v>0</v>
      </c>
      <c r="Q43" s="794">
        <f>P43*(1+'Fin Inputs'!$V$24)  * (Q$2&lt;=investmentTerm)</f>
        <v>0</v>
      </c>
      <c r="R43" s="794">
        <f>Q43*(1+'Fin Inputs'!$V$24)  * (R$2&lt;=investmentTerm)</f>
        <v>0</v>
      </c>
      <c r="S43" s="794">
        <f>R43*(1+'Fin Inputs'!$V$24)  * (S$2&lt;=investmentTerm)</f>
        <v>0</v>
      </c>
      <c r="T43" s="794">
        <f>S43*(1+'Fin Inputs'!$V$24)  * (T$2&lt;=investmentTerm)</f>
        <v>0</v>
      </c>
      <c r="U43" s="794">
        <f>T43*(1+'Fin Inputs'!$V$24)  * (U$2&lt;=investmentTerm)</f>
        <v>0</v>
      </c>
      <c r="V43" s="794">
        <f>U43*(1+'Fin Inputs'!$V$24)  * (V$2&lt;=investmentTerm)</f>
        <v>0</v>
      </c>
      <c r="W43" s="794">
        <f>V43*(1+'Fin Inputs'!$V$24)  * (W$2&lt;=investmentTerm)</f>
        <v>0</v>
      </c>
      <c r="X43" s="794">
        <f>W43*(1+'Fin Inputs'!$V$24)  * (X$2&lt;=investmentTerm)</f>
        <v>0</v>
      </c>
      <c r="Y43" s="794">
        <f>X43*(1+'Fin Inputs'!$V$24)  * (Y$2&lt;=investmentTerm)</f>
        <v>0</v>
      </c>
      <c r="Z43" s="794">
        <f>Y43*(1+'Fin Inputs'!$V$24)  * (Z$2&lt;=investmentTerm)</f>
        <v>0</v>
      </c>
      <c r="AA43" s="794">
        <f>Z43*(1+'Fin Inputs'!$V$24)  * (AA$2&lt;=investmentTerm)</f>
        <v>0</v>
      </c>
      <c r="AB43" s="794">
        <f>AA43*(1+'Fin Inputs'!$V$24)  * (AB$2&lt;=investmentTerm)</f>
        <v>0</v>
      </c>
      <c r="AC43" s="794">
        <f>AB43*(1+'Fin Inputs'!$V$24)  * (AC$2&lt;=investmentTerm)</f>
        <v>0</v>
      </c>
      <c r="AD43" s="794">
        <f>AC43*(1+'Fin Inputs'!$V$24)  * (AD$2&lt;=investmentTerm)</f>
        <v>0</v>
      </c>
      <c r="AE43" s="794">
        <f>AD43*(1+'Fin Inputs'!$V$24)  * (AE$2&lt;=investmentTerm)</f>
        <v>0</v>
      </c>
    </row>
    <row r="44" spans="1:31" s="794" customFormat="1" x14ac:dyDescent="0.3">
      <c r="A44"/>
      <c r="B44"/>
      <c r="C44"/>
      <c r="D44" t="s">
        <v>293</v>
      </c>
      <c r="E44"/>
      <c r="F44"/>
      <c r="G44" s="792">
        <f>-'Fin Inputs'!$V$26  * (G$2&lt;=investmentTerm)</f>
        <v>0</v>
      </c>
      <c r="H44" s="794">
        <f>G44*(1+'Fin Inputs'!$V$27)  * (H$2&lt;=investmentTerm)</f>
        <v>0</v>
      </c>
      <c r="I44" s="794">
        <f>H44*(1+'Fin Inputs'!$V$27)  * (I$2&lt;=investmentTerm)</f>
        <v>0</v>
      </c>
      <c r="J44" s="794">
        <f>I44*(1+'Fin Inputs'!$V$27)  * (J$2&lt;=investmentTerm)</f>
        <v>0</v>
      </c>
      <c r="K44" s="794">
        <f>J44*(1+'Fin Inputs'!$V$27)  * (K$2&lt;=investmentTerm)</f>
        <v>0</v>
      </c>
      <c r="L44" s="794">
        <f>K44*(1+'Fin Inputs'!$V$27)  * (L$2&lt;=investmentTerm)</f>
        <v>0</v>
      </c>
      <c r="M44" s="794">
        <f>L44*(1+'Fin Inputs'!$V$27)  * (M$2&lt;=investmentTerm)</f>
        <v>0</v>
      </c>
      <c r="N44" s="794">
        <f>M44*(1+'Fin Inputs'!$V$27)  * (N$2&lt;=investmentTerm)</f>
        <v>0</v>
      </c>
      <c r="O44" s="794">
        <f>N44*(1+'Fin Inputs'!$V$27)  * (O$2&lt;=investmentTerm)</f>
        <v>0</v>
      </c>
      <c r="P44" s="794">
        <f>O44*(1+'Fin Inputs'!$V$27)  * (P$2&lt;=investmentTerm)</f>
        <v>0</v>
      </c>
      <c r="Q44" s="794">
        <f>P44*(1+'Fin Inputs'!$V$27)  * (Q$2&lt;=investmentTerm)</f>
        <v>0</v>
      </c>
      <c r="R44" s="794">
        <f>Q44*(1+'Fin Inputs'!$V$27)  * (R$2&lt;=investmentTerm)</f>
        <v>0</v>
      </c>
      <c r="S44" s="794">
        <f>R44*(1+'Fin Inputs'!$V$27)  * (S$2&lt;=investmentTerm)</f>
        <v>0</v>
      </c>
      <c r="T44" s="794">
        <f>S44*(1+'Fin Inputs'!$V$27)  * (T$2&lt;=investmentTerm)</f>
        <v>0</v>
      </c>
      <c r="U44" s="794">
        <f>T44*(1+'Fin Inputs'!$V$27)  * (U$2&lt;=investmentTerm)</f>
        <v>0</v>
      </c>
      <c r="V44" s="794">
        <f>U44*(1+'Fin Inputs'!$V$27)  * (V$2&lt;=investmentTerm)</f>
        <v>0</v>
      </c>
      <c r="W44" s="794">
        <f>V44*(1+'Fin Inputs'!$V$27)  * (W$2&lt;=investmentTerm)</f>
        <v>0</v>
      </c>
      <c r="X44" s="794">
        <f>W44*(1+'Fin Inputs'!$V$27)  * (X$2&lt;=investmentTerm)</f>
        <v>0</v>
      </c>
      <c r="Y44" s="794">
        <f>X44*(1+'Fin Inputs'!$V$27)  * (Y$2&lt;=investmentTerm)</f>
        <v>0</v>
      </c>
      <c r="Z44" s="794">
        <f>Y44*(1+'Fin Inputs'!$V$27)  * (Z$2&lt;=investmentTerm)</f>
        <v>0</v>
      </c>
      <c r="AA44" s="794">
        <f>Z44*(1+'Fin Inputs'!$V$27)  * (AA$2&lt;=investmentTerm)</f>
        <v>0</v>
      </c>
      <c r="AB44" s="794">
        <f>AA44*(1+'Fin Inputs'!$V$27)  * (AB$2&lt;=investmentTerm)</f>
        <v>0</v>
      </c>
      <c r="AC44" s="794">
        <f>AB44*(1+'Fin Inputs'!$V$27)  * (AC$2&lt;=investmentTerm)</f>
        <v>0</v>
      </c>
      <c r="AD44" s="794">
        <f>AC44*(1+'Fin Inputs'!$V$27)  * (AD$2&lt;=investmentTerm)</f>
        <v>0</v>
      </c>
      <c r="AE44" s="794">
        <f>AD44*(1+'Fin Inputs'!$V$27)  * (AE$2&lt;=investmentTerm)</f>
        <v>0</v>
      </c>
    </row>
    <row r="45" spans="1:31" x14ac:dyDescent="0.3">
      <c r="C45" s="2" t="s">
        <v>294</v>
      </c>
      <c r="G45" s="795">
        <f>SUM(G38:G44)</f>
        <v>-385</v>
      </c>
      <c r="H45" s="795">
        <f t="shared" ref="H45:AE45" si="5">SUM(H38:H44)</f>
        <v>-385</v>
      </c>
      <c r="I45" s="795">
        <f t="shared" si="5"/>
        <v>-385</v>
      </c>
      <c r="J45" s="795">
        <f t="shared" si="5"/>
        <v>-392.7</v>
      </c>
      <c r="K45" s="795">
        <f t="shared" si="5"/>
        <v>-400.55399999999997</v>
      </c>
      <c r="L45" s="795">
        <f t="shared" si="5"/>
        <v>-408.56507999999997</v>
      </c>
      <c r="M45" s="795">
        <f t="shared" si="5"/>
        <v>-416.73638159999996</v>
      </c>
      <c r="N45" s="795">
        <f t="shared" si="5"/>
        <v>-425.07110923199997</v>
      </c>
      <c r="O45" s="795">
        <f t="shared" si="5"/>
        <v>-433.57253141664</v>
      </c>
      <c r="P45" s="795">
        <f t="shared" si="5"/>
        <v>-442.24398204497282</v>
      </c>
      <c r="Q45" s="795">
        <f t="shared" si="5"/>
        <v>-451.0888616858723</v>
      </c>
      <c r="R45" s="795">
        <f t="shared" si="5"/>
        <v>-460.11063891958975</v>
      </c>
      <c r="S45" s="795">
        <f t="shared" si="5"/>
        <v>-469.31285169798156</v>
      </c>
      <c r="T45" s="795">
        <f t="shared" si="5"/>
        <v>-478.69910873194118</v>
      </c>
      <c r="U45" s="795">
        <f t="shared" si="5"/>
        <v>-488.27309090658002</v>
      </c>
      <c r="V45" s="795">
        <f t="shared" si="5"/>
        <v>-498.03855272471162</v>
      </c>
      <c r="W45" s="795">
        <f t="shared" si="5"/>
        <v>-507.99932377920584</v>
      </c>
      <c r="X45" s="795">
        <f t="shared" si="5"/>
        <v>-518.15931025478994</v>
      </c>
      <c r="Y45" s="795">
        <f t="shared" si="5"/>
        <v>-528.5224964598857</v>
      </c>
      <c r="Z45" s="795">
        <f t="shared" si="5"/>
        <v>-539.09294638908341</v>
      </c>
      <c r="AA45" s="795">
        <f t="shared" si="5"/>
        <v>0</v>
      </c>
      <c r="AB45" s="795">
        <f t="shared" si="5"/>
        <v>0</v>
      </c>
      <c r="AC45" s="795">
        <f t="shared" si="5"/>
        <v>0</v>
      </c>
      <c r="AD45" s="795">
        <f t="shared" si="5"/>
        <v>0</v>
      </c>
      <c r="AE45" s="795">
        <f t="shared" si="5"/>
        <v>0</v>
      </c>
    </row>
    <row r="47" spans="1:31" x14ac:dyDescent="0.3">
      <c r="C47" s="2" t="s">
        <v>295</v>
      </c>
    </row>
    <row r="48" spans="1:31" x14ac:dyDescent="0.3">
      <c r="B48" s="772">
        <v>9</v>
      </c>
      <c r="C48" s="772"/>
      <c r="F48" s="779"/>
      <c r="G48" s="780"/>
      <c r="H48" s="780"/>
      <c r="I48" s="780"/>
      <c r="J48" s="780"/>
      <c r="K48" s="780"/>
      <c r="L48" s="780"/>
      <c r="M48" s="780"/>
      <c r="N48" s="780"/>
      <c r="O48" s="780"/>
      <c r="P48" s="780"/>
      <c r="Q48" s="780"/>
      <c r="R48" s="780"/>
      <c r="S48" s="780"/>
      <c r="T48" s="780"/>
      <c r="U48" s="780"/>
      <c r="V48" s="780"/>
      <c r="W48" s="780"/>
      <c r="X48" s="780"/>
      <c r="Y48" s="780"/>
      <c r="Z48" s="780"/>
      <c r="AA48" s="780"/>
      <c r="AB48" s="780"/>
      <c r="AC48" s="780"/>
      <c r="AD48" s="780"/>
      <c r="AE48" s="780"/>
    </row>
    <row r="49" spans="2:31" x14ac:dyDescent="0.3">
      <c r="B49" s="772">
        <v>10</v>
      </c>
      <c r="C49" s="772"/>
      <c r="F49" s="779"/>
      <c r="G49" s="780"/>
      <c r="H49" s="780"/>
      <c r="I49" s="780"/>
      <c r="J49" s="780"/>
      <c r="K49" s="780"/>
      <c r="L49" s="780"/>
      <c r="M49" s="780"/>
      <c r="N49" s="780"/>
      <c r="O49" s="780"/>
      <c r="P49" s="780"/>
      <c r="Q49" s="780"/>
      <c r="R49" s="780"/>
      <c r="S49" s="780"/>
      <c r="T49" s="780"/>
      <c r="U49" s="780"/>
      <c r="V49" s="780"/>
      <c r="W49" s="780"/>
      <c r="X49" s="780"/>
      <c r="Y49" s="780"/>
      <c r="Z49" s="780"/>
      <c r="AA49" s="780"/>
      <c r="AB49" s="780"/>
      <c r="AC49" s="780"/>
      <c r="AD49" s="780"/>
      <c r="AE49" s="780"/>
    </row>
    <row r="50" spans="2:31" x14ac:dyDescent="0.3">
      <c r="B50" s="772">
        <v>12</v>
      </c>
      <c r="C50" s="772"/>
      <c r="F50" s="779"/>
      <c r="G50" s="780"/>
      <c r="H50" s="780"/>
      <c r="I50" s="780"/>
      <c r="J50" s="780"/>
      <c r="K50" s="780"/>
      <c r="L50" s="780"/>
      <c r="M50" s="780"/>
      <c r="N50" s="780"/>
      <c r="O50" s="780"/>
      <c r="P50" s="780"/>
      <c r="Q50" s="780"/>
      <c r="R50" s="780"/>
      <c r="S50" s="780"/>
      <c r="T50" s="780"/>
      <c r="U50" s="780"/>
      <c r="V50" s="780"/>
      <c r="W50" s="780"/>
      <c r="X50" s="780"/>
      <c r="Y50" s="780"/>
      <c r="Z50" s="780"/>
      <c r="AA50" s="780"/>
      <c r="AB50" s="780"/>
      <c r="AC50" s="780"/>
      <c r="AD50" s="780"/>
      <c r="AE50" s="780"/>
    </row>
    <row r="51" spans="2:31" x14ac:dyDescent="0.3">
      <c r="C51" s="2" t="s">
        <v>296</v>
      </c>
      <c r="G51" s="789">
        <f t="shared" ref="G51:AE51" si="6">SUM(G48:G50)</f>
        <v>0</v>
      </c>
      <c r="H51" s="789">
        <f t="shared" si="6"/>
        <v>0</v>
      </c>
      <c r="I51" s="789">
        <f t="shared" si="6"/>
        <v>0</v>
      </c>
      <c r="J51" s="789">
        <f t="shared" si="6"/>
        <v>0</v>
      </c>
      <c r="K51" s="789">
        <f t="shared" si="6"/>
        <v>0</v>
      </c>
      <c r="L51" s="789">
        <f t="shared" si="6"/>
        <v>0</v>
      </c>
      <c r="M51" s="789">
        <f t="shared" si="6"/>
        <v>0</v>
      </c>
      <c r="N51" s="789">
        <f t="shared" si="6"/>
        <v>0</v>
      </c>
      <c r="O51" s="789">
        <f t="shared" si="6"/>
        <v>0</v>
      </c>
      <c r="P51" s="789">
        <f t="shared" si="6"/>
        <v>0</v>
      </c>
      <c r="Q51" s="789">
        <f t="shared" si="6"/>
        <v>0</v>
      </c>
      <c r="R51" s="789">
        <f t="shared" si="6"/>
        <v>0</v>
      </c>
      <c r="S51" s="789">
        <f t="shared" si="6"/>
        <v>0</v>
      </c>
      <c r="T51" s="789">
        <f t="shared" si="6"/>
        <v>0</v>
      </c>
      <c r="U51" s="789">
        <f t="shared" si="6"/>
        <v>0</v>
      </c>
      <c r="V51" s="789">
        <f t="shared" si="6"/>
        <v>0</v>
      </c>
      <c r="W51" s="789">
        <f t="shared" si="6"/>
        <v>0</v>
      </c>
      <c r="X51" s="789">
        <f t="shared" si="6"/>
        <v>0</v>
      </c>
      <c r="Y51" s="789">
        <f t="shared" si="6"/>
        <v>0</v>
      </c>
      <c r="Z51" s="789">
        <f t="shared" si="6"/>
        <v>0</v>
      </c>
      <c r="AA51" s="789">
        <f t="shared" si="6"/>
        <v>0</v>
      </c>
      <c r="AB51" s="789">
        <f t="shared" si="6"/>
        <v>0</v>
      </c>
      <c r="AC51" s="789">
        <f t="shared" si="6"/>
        <v>0</v>
      </c>
      <c r="AD51" s="789">
        <f t="shared" si="6"/>
        <v>0</v>
      </c>
      <c r="AE51" s="789">
        <f t="shared" si="6"/>
        <v>0</v>
      </c>
    </row>
    <row r="53" spans="2:31" x14ac:dyDescent="0.3">
      <c r="C53" s="2" t="s">
        <v>297</v>
      </c>
      <c r="G53" s="789">
        <f t="shared" ref="G53:AE53" si="7">G45+G51</f>
        <v>-385</v>
      </c>
      <c r="H53" s="789">
        <f t="shared" si="7"/>
        <v>-385</v>
      </c>
      <c r="I53" s="789">
        <f t="shared" si="7"/>
        <v>-385</v>
      </c>
      <c r="J53" s="789">
        <f t="shared" si="7"/>
        <v>-392.7</v>
      </c>
      <c r="K53" s="789">
        <f t="shared" si="7"/>
        <v>-400.55399999999997</v>
      </c>
      <c r="L53" s="789">
        <f t="shared" si="7"/>
        <v>-408.56507999999997</v>
      </c>
      <c r="M53" s="789">
        <f t="shared" si="7"/>
        <v>-416.73638159999996</v>
      </c>
      <c r="N53" s="789">
        <f t="shared" si="7"/>
        <v>-425.07110923199997</v>
      </c>
      <c r="O53" s="789">
        <f t="shared" si="7"/>
        <v>-433.57253141664</v>
      </c>
      <c r="P53" s="789">
        <f t="shared" si="7"/>
        <v>-442.24398204497282</v>
      </c>
      <c r="Q53" s="789">
        <f t="shared" si="7"/>
        <v>-451.0888616858723</v>
      </c>
      <c r="R53" s="789">
        <f t="shared" si="7"/>
        <v>-460.11063891958975</v>
      </c>
      <c r="S53" s="789">
        <f t="shared" si="7"/>
        <v>-469.31285169798156</v>
      </c>
      <c r="T53" s="789">
        <f t="shared" si="7"/>
        <v>-478.69910873194118</v>
      </c>
      <c r="U53" s="789">
        <f t="shared" si="7"/>
        <v>-488.27309090658002</v>
      </c>
      <c r="V53" s="789">
        <f t="shared" si="7"/>
        <v>-498.03855272471162</v>
      </c>
      <c r="W53" s="789">
        <f t="shared" si="7"/>
        <v>-507.99932377920584</v>
      </c>
      <c r="X53" s="789">
        <f t="shared" si="7"/>
        <v>-518.15931025478994</v>
      </c>
      <c r="Y53" s="789">
        <f t="shared" si="7"/>
        <v>-528.5224964598857</v>
      </c>
      <c r="Z53" s="789">
        <f t="shared" si="7"/>
        <v>-539.09294638908341</v>
      </c>
      <c r="AA53" s="789">
        <f t="shared" si="7"/>
        <v>0</v>
      </c>
      <c r="AB53" s="789">
        <f t="shared" si="7"/>
        <v>0</v>
      </c>
      <c r="AC53" s="789">
        <f t="shared" si="7"/>
        <v>0</v>
      </c>
      <c r="AD53" s="789">
        <f t="shared" si="7"/>
        <v>0</v>
      </c>
      <c r="AE53" s="789">
        <f t="shared" si="7"/>
        <v>0</v>
      </c>
    </row>
    <row r="56" spans="2:31" x14ac:dyDescent="0.3">
      <c r="B56" t="s">
        <v>298</v>
      </c>
      <c r="G56" s="789">
        <f>G34+G53</f>
        <v>2617.6560790903977</v>
      </c>
      <c r="H56" s="789">
        <f>H34+H53</f>
        <v>584.8463346639362</v>
      </c>
      <c r="I56" s="789">
        <f t="shared" ref="I56:AE56" si="8">I34+I53</f>
        <v>463.39798122317279</v>
      </c>
      <c r="J56" s="789">
        <f t="shared" si="8"/>
        <v>497.24593537865331</v>
      </c>
      <c r="K56" s="789">
        <f t="shared" si="8"/>
        <v>540.51152288199989</v>
      </c>
      <c r="L56" s="789">
        <f t="shared" si="8"/>
        <v>558.32909760271605</v>
      </c>
      <c r="M56" s="789">
        <f t="shared" si="8"/>
        <v>575.98645072343231</v>
      </c>
      <c r="N56" s="789">
        <f t="shared" si="8"/>
        <v>593.48037781214839</v>
      </c>
      <c r="O56" s="789">
        <f t="shared" si="8"/>
        <v>610.80761034822467</v>
      </c>
      <c r="P56" s="789">
        <f t="shared" si="8"/>
        <v>627.96481444060805</v>
      </c>
      <c r="Q56" s="789">
        <f t="shared" si="8"/>
        <v>677.31621809166302</v>
      </c>
      <c r="R56" s="789">
        <f t="shared" si="8"/>
        <v>726.49072414990019</v>
      </c>
      <c r="S56" s="789">
        <f t="shared" si="8"/>
        <v>775.48479466346294</v>
      </c>
      <c r="T56" s="789">
        <f t="shared" si="8"/>
        <v>824.29482092145781</v>
      </c>
      <c r="U56" s="789">
        <f t="shared" si="8"/>
        <v>872.91712203877353</v>
      </c>
      <c r="V56" s="789">
        <f t="shared" si="8"/>
        <v>913.73152363570114</v>
      </c>
      <c r="W56" s="789">
        <f t="shared" si="8"/>
        <v>954.35061599626636</v>
      </c>
      <c r="X56" s="789">
        <f t="shared" si="8"/>
        <v>994.77049293574123</v>
      </c>
      <c r="Y56" s="789">
        <f t="shared" si="8"/>
        <v>1034.9871701457046</v>
      </c>
      <c r="Z56" s="789">
        <f t="shared" si="8"/>
        <v>1074.9965836315664</v>
      </c>
      <c r="AA56" s="789">
        <f t="shared" si="8"/>
        <v>0</v>
      </c>
      <c r="AB56" s="789">
        <f t="shared" si="8"/>
        <v>0</v>
      </c>
      <c r="AC56" s="789">
        <f t="shared" si="8"/>
        <v>0</v>
      </c>
      <c r="AD56" s="789">
        <f t="shared" si="8"/>
        <v>0</v>
      </c>
      <c r="AE56" s="789">
        <f t="shared" si="8"/>
        <v>0</v>
      </c>
    </row>
    <row r="57" spans="2:31" ht="15" customHeight="1" x14ac:dyDescent="0.3"/>
    <row r="58" spans="2:31" ht="15" customHeight="1" x14ac:dyDescent="0.3">
      <c r="D58" s="796"/>
      <c r="E58" s="796"/>
      <c r="F58" s="796"/>
      <c r="G58" s="796"/>
      <c r="H58" s="796"/>
      <c r="I58" s="796"/>
      <c r="J58" s="796"/>
      <c r="K58" s="796"/>
      <c r="L58" s="796"/>
      <c r="M58" s="796"/>
      <c r="N58" s="796"/>
    </row>
    <row r="59" spans="2:31" x14ac:dyDescent="0.3">
      <c r="G59" s="789"/>
      <c r="H59" s="789"/>
      <c r="I59" s="789"/>
      <c r="J59" s="789"/>
      <c r="K59" s="789"/>
      <c r="L59" s="789"/>
      <c r="M59" s="789"/>
      <c r="N59" s="789"/>
      <c r="O59" s="789"/>
      <c r="P59" s="789"/>
      <c r="Q59" s="789"/>
      <c r="R59" s="789"/>
      <c r="S59" s="789"/>
      <c r="T59" s="789"/>
      <c r="U59" s="789"/>
      <c r="V59" s="789"/>
      <c r="W59" s="789"/>
      <c r="X59" s="789"/>
      <c r="Y59" s="789"/>
      <c r="Z59" s="789"/>
      <c r="AA59" s="789"/>
      <c r="AB59" s="789"/>
      <c r="AC59" s="789"/>
      <c r="AD59" s="789"/>
      <c r="AE59" s="789"/>
    </row>
  </sheetData>
  <sheetProtection algorithmName="SHA-512" hashValue="CdqYfo7q2T7hk5+lpDWLiGLoCtN32+bxpsqgURE4mZgQKs6LR0KyjcVXxYIrOW6jHf8GArHXYnFKpy7fVXaQwA==" saltValue="yOgBgrT2k+2Cc/miTyAjrw==" spinCount="100000" sheet="1" objects="1" scenarios="1" selectLockedCells="1"/>
  <pageMargins left="0.7" right="0.7" top="0.75" bottom="0.75" header="0.3" footer="0.3"/>
  <pageSetup paperSize="9" scale="2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2E51F-AC06-450A-976D-8DC6506D188E}">
  <sheetPr codeName="Sheet17">
    <tabColor theme="9" tint="0.59999389629810485"/>
    <pageSetUpPr fitToPage="1"/>
  </sheetPr>
  <dimension ref="A1:WNT96"/>
  <sheetViews>
    <sheetView zoomScale="80" zoomScaleNormal="80" zoomScaleSheetLayoutView="40" zoomScalePageLayoutView="150" workbookViewId="0">
      <selection activeCell="M40" sqref="M40:M44"/>
    </sheetView>
  </sheetViews>
  <sheetFormatPr defaultColWidth="0" defaultRowHeight="14.4" x14ac:dyDescent="0.3"/>
  <cols>
    <col min="1" max="1" width="2.5546875" customWidth="1"/>
    <col min="2" max="2" width="4.44140625" customWidth="1"/>
    <col min="3" max="3" width="3.44140625" customWidth="1"/>
    <col min="4" max="4" width="15.44140625" customWidth="1"/>
    <col min="5" max="5" width="14.5546875" customWidth="1"/>
    <col min="6" max="6" width="13.5546875" bestFit="1" customWidth="1"/>
    <col min="7" max="8" width="12.44140625" bestFit="1" customWidth="1"/>
    <col min="9" max="10" width="13.44140625" bestFit="1" customWidth="1"/>
    <col min="11" max="11" width="14.5546875" bestFit="1" customWidth="1"/>
    <col min="12" max="16" width="13.44140625" bestFit="1" customWidth="1"/>
    <col min="17" max="17" width="14.5546875" bestFit="1" customWidth="1"/>
    <col min="18" max="31" width="13.44140625" bestFit="1" customWidth="1"/>
    <col min="32" max="39" width="11" hidden="1"/>
    <col min="40" max="40" width="11.5546875" hidden="1"/>
    <col min="41" max="60" width="11" hidden="1"/>
    <col min="61" max="280" width="9.44140625" hidden="1"/>
    <col min="281" max="282" width="2.5546875" hidden="1"/>
    <col min="283" max="283" width="3.44140625" hidden="1"/>
    <col min="284" max="284" width="15.44140625" hidden="1"/>
    <col min="285" max="285" width="14.5546875" hidden="1"/>
    <col min="286" max="286" width="12.44140625" hidden="1"/>
    <col min="287" max="295" width="11" hidden="1"/>
    <col min="296" max="296" width="11.5546875" hidden="1"/>
    <col min="297" max="316" width="11" hidden="1"/>
    <col min="317" max="536" width="9.44140625" hidden="1"/>
    <col min="537" max="538" width="2.5546875" hidden="1"/>
    <col min="539" max="539" width="3.44140625" hidden="1"/>
    <col min="540" max="540" width="15.44140625" hidden="1"/>
    <col min="541" max="541" width="14.5546875" hidden="1"/>
    <col min="542" max="542" width="12.44140625" hidden="1"/>
    <col min="543" max="551" width="11" hidden="1"/>
    <col min="552" max="552" width="11.5546875" hidden="1"/>
    <col min="553" max="572" width="11" hidden="1"/>
    <col min="573" max="792" width="9.44140625" hidden="1"/>
    <col min="793" max="794" width="2.5546875" hidden="1"/>
    <col min="795" max="795" width="3.44140625" hidden="1"/>
    <col min="796" max="796" width="15.44140625" hidden="1"/>
    <col min="797" max="797" width="14.5546875" hidden="1"/>
    <col min="798" max="798" width="12.44140625" hidden="1"/>
    <col min="799" max="807" width="11" hidden="1"/>
    <col min="808" max="808" width="11.5546875" hidden="1"/>
    <col min="809" max="828" width="11" hidden="1"/>
    <col min="829" max="1048" width="9.44140625" hidden="1"/>
    <col min="1049" max="1050" width="2.5546875" hidden="1"/>
    <col min="1051" max="1051" width="3.44140625" hidden="1"/>
    <col min="1052" max="1052" width="15.44140625" hidden="1"/>
    <col min="1053" max="1053" width="14.5546875" hidden="1"/>
    <col min="1054" max="1054" width="12.44140625" hidden="1"/>
    <col min="1055" max="1063" width="11" hidden="1"/>
    <col min="1064" max="1064" width="11.5546875" hidden="1"/>
    <col min="1065" max="1084" width="11" hidden="1"/>
    <col min="1085" max="1304" width="9.44140625" hidden="1"/>
    <col min="1305" max="1306" width="2.5546875" hidden="1"/>
    <col min="1307" max="1307" width="3.44140625" hidden="1"/>
    <col min="1308" max="1308" width="15.44140625" hidden="1"/>
    <col min="1309" max="1309" width="14.5546875" hidden="1"/>
    <col min="1310" max="1310" width="12.44140625" hidden="1"/>
    <col min="1311" max="1319" width="11" hidden="1"/>
    <col min="1320" max="1320" width="11.5546875" hidden="1"/>
    <col min="1321" max="1340" width="11" hidden="1"/>
    <col min="1341" max="1560" width="9.44140625" hidden="1"/>
    <col min="1561" max="1562" width="2.5546875" hidden="1"/>
    <col min="1563" max="1563" width="3.44140625" hidden="1"/>
    <col min="1564" max="1564" width="15.44140625" hidden="1"/>
    <col min="1565" max="1565" width="14.5546875" hidden="1"/>
    <col min="1566" max="1566" width="12.44140625" hidden="1"/>
    <col min="1567" max="1575" width="11" hidden="1"/>
    <col min="1576" max="1576" width="11.5546875" hidden="1"/>
    <col min="1577" max="1596" width="11" hidden="1"/>
    <col min="1597" max="1816" width="9.44140625" hidden="1"/>
    <col min="1817" max="1818" width="2.5546875" hidden="1"/>
    <col min="1819" max="1819" width="3.44140625" hidden="1"/>
    <col min="1820" max="1820" width="15.44140625" hidden="1"/>
    <col min="1821" max="1821" width="14.5546875" hidden="1"/>
    <col min="1822" max="1822" width="12.44140625" hidden="1"/>
    <col min="1823" max="1831" width="11" hidden="1"/>
    <col min="1832" max="1832" width="11.5546875" hidden="1"/>
    <col min="1833" max="1852" width="11" hidden="1"/>
    <col min="1853" max="2072" width="9.44140625" hidden="1"/>
    <col min="2073" max="2074" width="2.5546875" hidden="1"/>
    <col min="2075" max="2075" width="3.44140625" hidden="1"/>
    <col min="2076" max="2076" width="15.44140625" hidden="1"/>
    <col min="2077" max="2077" width="14.5546875" hidden="1"/>
    <col min="2078" max="2078" width="12.44140625" hidden="1"/>
    <col min="2079" max="2087" width="11" hidden="1"/>
    <col min="2088" max="2088" width="11.5546875" hidden="1"/>
    <col min="2089" max="2108" width="11" hidden="1"/>
    <col min="2109" max="2328" width="9.44140625" hidden="1"/>
    <col min="2329" max="2330" width="2.5546875" hidden="1"/>
    <col min="2331" max="2331" width="3.44140625" hidden="1"/>
    <col min="2332" max="2332" width="15.44140625" hidden="1"/>
    <col min="2333" max="2333" width="14.5546875" hidden="1"/>
    <col min="2334" max="2334" width="12.44140625" hidden="1"/>
    <col min="2335" max="2343" width="11" hidden="1"/>
    <col min="2344" max="2344" width="11.5546875" hidden="1"/>
    <col min="2345" max="2364" width="11" hidden="1"/>
    <col min="2365" max="2584" width="9.44140625" hidden="1"/>
    <col min="2585" max="2586" width="2.5546875" hidden="1"/>
    <col min="2587" max="2587" width="3.44140625" hidden="1"/>
    <col min="2588" max="2588" width="15.44140625" hidden="1"/>
    <col min="2589" max="2589" width="14.5546875" hidden="1"/>
    <col min="2590" max="2590" width="12.44140625" hidden="1"/>
    <col min="2591" max="2599" width="11" hidden="1"/>
    <col min="2600" max="2600" width="11.5546875" hidden="1"/>
    <col min="2601" max="2620" width="11" hidden="1"/>
    <col min="2621" max="2840" width="9.44140625" hidden="1"/>
    <col min="2841" max="2842" width="2.5546875" hidden="1"/>
    <col min="2843" max="2843" width="3.44140625" hidden="1"/>
    <col min="2844" max="2844" width="15.44140625" hidden="1"/>
    <col min="2845" max="2845" width="14.5546875" hidden="1"/>
    <col min="2846" max="2846" width="12.44140625" hidden="1"/>
    <col min="2847" max="2855" width="11" hidden="1"/>
    <col min="2856" max="2856" width="11.5546875" hidden="1"/>
    <col min="2857" max="2876" width="11" hidden="1"/>
    <col min="2877" max="3096" width="9.44140625" hidden="1"/>
    <col min="3097" max="3098" width="2.5546875" hidden="1"/>
    <col min="3099" max="3099" width="3.44140625" hidden="1"/>
    <col min="3100" max="3100" width="15.44140625" hidden="1"/>
    <col min="3101" max="3101" width="14.5546875" hidden="1"/>
    <col min="3102" max="3102" width="12.44140625" hidden="1"/>
    <col min="3103" max="3111" width="11" hidden="1"/>
    <col min="3112" max="3112" width="11.5546875" hidden="1"/>
    <col min="3113" max="3132" width="11" hidden="1"/>
    <col min="3133" max="3352" width="9.44140625" hidden="1"/>
    <col min="3353" max="3354" width="2.5546875" hidden="1"/>
    <col min="3355" max="3355" width="3.44140625" hidden="1"/>
    <col min="3356" max="3356" width="15.44140625" hidden="1"/>
    <col min="3357" max="3357" width="14.5546875" hidden="1"/>
    <col min="3358" max="3358" width="12.44140625" hidden="1"/>
    <col min="3359" max="3367" width="11" hidden="1"/>
    <col min="3368" max="3368" width="11.5546875" hidden="1"/>
    <col min="3369" max="3388" width="11" hidden="1"/>
    <col min="3389" max="3608" width="9.44140625" hidden="1"/>
    <col min="3609" max="3610" width="2.5546875" hidden="1"/>
    <col min="3611" max="3611" width="3.44140625" hidden="1"/>
    <col min="3612" max="3612" width="15.44140625" hidden="1"/>
    <col min="3613" max="3613" width="14.5546875" hidden="1"/>
    <col min="3614" max="3614" width="12.44140625" hidden="1"/>
    <col min="3615" max="3623" width="11" hidden="1"/>
    <col min="3624" max="3624" width="11.5546875" hidden="1"/>
    <col min="3625" max="3644" width="11" hidden="1"/>
    <col min="3645" max="3864" width="9.44140625" hidden="1"/>
    <col min="3865" max="3866" width="2.5546875" hidden="1"/>
    <col min="3867" max="3867" width="3.44140625" hidden="1"/>
    <col min="3868" max="3868" width="15.44140625" hidden="1"/>
    <col min="3869" max="3869" width="14.5546875" hidden="1"/>
    <col min="3870" max="3870" width="12.44140625" hidden="1"/>
    <col min="3871" max="3879" width="11" hidden="1"/>
    <col min="3880" max="3880" width="11.5546875" hidden="1"/>
    <col min="3881" max="3900" width="11" hidden="1"/>
    <col min="3901" max="4120" width="9.44140625" hidden="1"/>
    <col min="4121" max="4122" width="2.5546875" hidden="1"/>
    <col min="4123" max="4123" width="3.44140625" hidden="1"/>
    <col min="4124" max="4124" width="15.44140625" hidden="1"/>
    <col min="4125" max="4125" width="14.5546875" hidden="1"/>
    <col min="4126" max="4126" width="12.44140625" hidden="1"/>
    <col min="4127" max="4135" width="11" hidden="1"/>
    <col min="4136" max="4136" width="11.5546875" hidden="1"/>
    <col min="4137" max="4156" width="11" hidden="1"/>
    <col min="4157" max="4376" width="9.44140625" hidden="1"/>
    <col min="4377" max="4378" width="2.5546875" hidden="1"/>
    <col min="4379" max="4379" width="3.44140625" hidden="1"/>
    <col min="4380" max="4380" width="15.44140625" hidden="1"/>
    <col min="4381" max="4381" width="14.5546875" hidden="1"/>
    <col min="4382" max="4382" width="12.44140625" hidden="1"/>
    <col min="4383" max="4391" width="11" hidden="1"/>
    <col min="4392" max="4392" width="11.5546875" hidden="1"/>
    <col min="4393" max="4412" width="11" hidden="1"/>
    <col min="4413" max="4632" width="9.44140625" hidden="1"/>
    <col min="4633" max="4634" width="2.5546875" hidden="1"/>
    <col min="4635" max="4635" width="3.44140625" hidden="1"/>
    <col min="4636" max="4636" width="15.44140625" hidden="1"/>
    <col min="4637" max="4637" width="14.5546875" hidden="1"/>
    <col min="4638" max="4638" width="12.44140625" hidden="1"/>
    <col min="4639" max="4647" width="11" hidden="1"/>
    <col min="4648" max="4648" width="11.5546875" hidden="1"/>
    <col min="4649" max="4668" width="11" hidden="1"/>
    <col min="4669" max="4888" width="9.44140625" hidden="1"/>
    <col min="4889" max="4890" width="2.5546875" hidden="1"/>
    <col min="4891" max="4891" width="3.44140625" hidden="1"/>
    <col min="4892" max="4892" width="15.44140625" hidden="1"/>
    <col min="4893" max="4893" width="14.5546875" hidden="1"/>
    <col min="4894" max="4894" width="12.44140625" hidden="1"/>
    <col min="4895" max="4903" width="11" hidden="1"/>
    <col min="4904" max="4904" width="11.5546875" hidden="1"/>
    <col min="4905" max="4924" width="11" hidden="1"/>
    <col min="4925" max="5144" width="9.44140625" hidden="1"/>
    <col min="5145" max="5146" width="2.5546875" hidden="1"/>
    <col min="5147" max="5147" width="3.44140625" hidden="1"/>
    <col min="5148" max="5148" width="15.44140625" hidden="1"/>
    <col min="5149" max="5149" width="14.5546875" hidden="1"/>
    <col min="5150" max="5150" width="12.44140625" hidden="1"/>
    <col min="5151" max="5159" width="11" hidden="1"/>
    <col min="5160" max="5160" width="11.5546875" hidden="1"/>
    <col min="5161" max="5180" width="11" hidden="1"/>
    <col min="5181" max="5400" width="9.44140625" hidden="1"/>
    <col min="5401" max="5402" width="2.5546875" hidden="1"/>
    <col min="5403" max="5403" width="3.44140625" hidden="1"/>
    <col min="5404" max="5404" width="15.44140625" hidden="1"/>
    <col min="5405" max="5405" width="14.5546875" hidden="1"/>
    <col min="5406" max="5406" width="12.44140625" hidden="1"/>
    <col min="5407" max="5415" width="11" hidden="1"/>
    <col min="5416" max="5416" width="11.5546875" hidden="1"/>
    <col min="5417" max="5436" width="11" hidden="1"/>
    <col min="5437" max="5656" width="9.44140625" hidden="1"/>
    <col min="5657" max="5658" width="2.5546875" hidden="1"/>
    <col min="5659" max="5659" width="3.44140625" hidden="1"/>
    <col min="5660" max="5660" width="15.44140625" hidden="1"/>
    <col min="5661" max="5661" width="14.5546875" hidden="1"/>
    <col min="5662" max="5662" width="12.44140625" hidden="1"/>
    <col min="5663" max="5671" width="11" hidden="1"/>
    <col min="5672" max="5672" width="11.5546875" hidden="1"/>
    <col min="5673" max="5692" width="11" hidden="1"/>
    <col min="5693" max="5912" width="9.44140625" hidden="1"/>
    <col min="5913" max="5914" width="2.5546875" hidden="1"/>
    <col min="5915" max="5915" width="3.44140625" hidden="1"/>
    <col min="5916" max="5916" width="15.44140625" hidden="1"/>
    <col min="5917" max="5917" width="14.5546875" hidden="1"/>
    <col min="5918" max="5918" width="12.44140625" hidden="1"/>
    <col min="5919" max="5927" width="11" hidden="1"/>
    <col min="5928" max="5928" width="11.5546875" hidden="1"/>
    <col min="5929" max="5948" width="11" hidden="1"/>
    <col min="5949" max="6168" width="9.44140625" hidden="1"/>
    <col min="6169" max="6170" width="2.5546875" hidden="1"/>
    <col min="6171" max="6171" width="3.44140625" hidden="1"/>
    <col min="6172" max="6172" width="15.44140625" hidden="1"/>
    <col min="6173" max="6173" width="14.5546875" hidden="1"/>
    <col min="6174" max="6174" width="12.44140625" hidden="1"/>
    <col min="6175" max="6183" width="11" hidden="1"/>
    <col min="6184" max="6184" width="11.5546875" hidden="1"/>
    <col min="6185" max="6204" width="11" hidden="1"/>
    <col min="6205" max="6424" width="9.44140625" hidden="1"/>
    <col min="6425" max="6426" width="2.5546875" hidden="1"/>
    <col min="6427" max="6427" width="3.44140625" hidden="1"/>
    <col min="6428" max="6428" width="15.44140625" hidden="1"/>
    <col min="6429" max="6429" width="14.5546875" hidden="1"/>
    <col min="6430" max="6430" width="12.44140625" hidden="1"/>
    <col min="6431" max="6439" width="11" hidden="1"/>
    <col min="6440" max="6440" width="11.5546875" hidden="1"/>
    <col min="6441" max="6460" width="11" hidden="1"/>
    <col min="6461" max="6680" width="9.44140625" hidden="1"/>
    <col min="6681" max="6682" width="2.5546875" hidden="1"/>
    <col min="6683" max="6683" width="3.44140625" hidden="1"/>
    <col min="6684" max="6684" width="15.44140625" hidden="1"/>
    <col min="6685" max="6685" width="14.5546875" hidden="1"/>
    <col min="6686" max="6686" width="12.44140625" hidden="1"/>
    <col min="6687" max="6695" width="11" hidden="1"/>
    <col min="6696" max="6696" width="11.5546875" hidden="1"/>
    <col min="6697" max="6716" width="11" hidden="1"/>
    <col min="6717" max="6936" width="9.44140625" hidden="1"/>
    <col min="6937" max="6938" width="2.5546875" hidden="1"/>
    <col min="6939" max="6939" width="3.44140625" hidden="1"/>
    <col min="6940" max="6940" width="15.44140625" hidden="1"/>
    <col min="6941" max="6941" width="14.5546875" hidden="1"/>
    <col min="6942" max="6942" width="12.44140625" hidden="1"/>
    <col min="6943" max="6951" width="11" hidden="1"/>
    <col min="6952" max="6952" width="11.5546875" hidden="1"/>
    <col min="6953" max="6972" width="11" hidden="1"/>
    <col min="6973" max="7192" width="9.44140625" hidden="1"/>
    <col min="7193" max="7194" width="2.5546875" hidden="1"/>
    <col min="7195" max="7195" width="3.44140625" hidden="1"/>
    <col min="7196" max="7196" width="15.44140625" hidden="1"/>
    <col min="7197" max="7197" width="14.5546875" hidden="1"/>
    <col min="7198" max="7198" width="12.44140625" hidden="1"/>
    <col min="7199" max="7207" width="11" hidden="1"/>
    <col min="7208" max="7208" width="11.5546875" hidden="1"/>
    <col min="7209" max="7228" width="11" hidden="1"/>
    <col min="7229" max="7448" width="9.44140625" hidden="1"/>
    <col min="7449" max="7450" width="2.5546875" hidden="1"/>
    <col min="7451" max="7451" width="3.44140625" hidden="1"/>
    <col min="7452" max="7452" width="15.44140625" hidden="1"/>
    <col min="7453" max="7453" width="14.5546875" hidden="1"/>
    <col min="7454" max="7454" width="12.44140625" hidden="1"/>
    <col min="7455" max="7463" width="11" hidden="1"/>
    <col min="7464" max="7464" width="11.5546875" hidden="1"/>
    <col min="7465" max="7484" width="11" hidden="1"/>
    <col min="7485" max="7704" width="9.44140625" hidden="1"/>
    <col min="7705" max="7706" width="2.5546875" hidden="1"/>
    <col min="7707" max="7707" width="3.44140625" hidden="1"/>
    <col min="7708" max="7708" width="15.44140625" hidden="1"/>
    <col min="7709" max="7709" width="14.5546875" hidden="1"/>
    <col min="7710" max="7710" width="12.44140625" hidden="1"/>
    <col min="7711" max="7719" width="11" hidden="1"/>
    <col min="7720" max="7720" width="11.5546875" hidden="1"/>
    <col min="7721" max="7740" width="11" hidden="1"/>
    <col min="7741" max="7960" width="9.44140625" hidden="1"/>
    <col min="7961" max="7962" width="2.5546875" hidden="1"/>
    <col min="7963" max="7963" width="3.44140625" hidden="1"/>
    <col min="7964" max="7964" width="15.44140625" hidden="1"/>
    <col min="7965" max="7965" width="14.5546875" hidden="1"/>
    <col min="7966" max="7966" width="12.44140625" hidden="1"/>
    <col min="7967" max="7975" width="11" hidden="1"/>
    <col min="7976" max="7976" width="11.5546875" hidden="1"/>
    <col min="7977" max="7996" width="11" hidden="1"/>
    <col min="7997" max="8216" width="9.44140625" hidden="1"/>
    <col min="8217" max="8218" width="2.5546875" hidden="1"/>
    <col min="8219" max="8219" width="3.44140625" hidden="1"/>
    <col min="8220" max="8220" width="15.44140625" hidden="1"/>
    <col min="8221" max="8221" width="14.5546875" hidden="1"/>
    <col min="8222" max="8222" width="12.44140625" hidden="1"/>
    <col min="8223" max="8231" width="11" hidden="1"/>
    <col min="8232" max="8232" width="11.5546875" hidden="1"/>
    <col min="8233" max="8252" width="11" hidden="1"/>
    <col min="8253" max="8472" width="9.44140625" hidden="1"/>
    <col min="8473" max="8474" width="2.5546875" hidden="1"/>
    <col min="8475" max="8475" width="3.44140625" hidden="1"/>
    <col min="8476" max="8476" width="15.44140625" hidden="1"/>
    <col min="8477" max="8477" width="14.5546875" hidden="1"/>
    <col min="8478" max="8478" width="12.44140625" hidden="1"/>
    <col min="8479" max="8487" width="11" hidden="1"/>
    <col min="8488" max="8488" width="11.5546875" hidden="1"/>
    <col min="8489" max="8508" width="11" hidden="1"/>
    <col min="8509" max="8728" width="9.44140625" hidden="1"/>
    <col min="8729" max="8730" width="2.5546875" hidden="1"/>
    <col min="8731" max="8731" width="3.44140625" hidden="1"/>
    <col min="8732" max="8732" width="15.44140625" hidden="1"/>
    <col min="8733" max="8733" width="14.5546875" hidden="1"/>
    <col min="8734" max="8734" width="12.44140625" hidden="1"/>
    <col min="8735" max="8743" width="11" hidden="1"/>
    <col min="8744" max="8744" width="11.5546875" hidden="1"/>
    <col min="8745" max="8764" width="11" hidden="1"/>
    <col min="8765" max="8984" width="9.44140625" hidden="1"/>
    <col min="8985" max="8986" width="2.5546875" hidden="1"/>
    <col min="8987" max="8987" width="3.44140625" hidden="1"/>
    <col min="8988" max="8988" width="15.44140625" hidden="1"/>
    <col min="8989" max="8989" width="14.5546875" hidden="1"/>
    <col min="8990" max="8990" width="12.44140625" hidden="1"/>
    <col min="8991" max="8999" width="11" hidden="1"/>
    <col min="9000" max="9000" width="11.5546875" hidden="1"/>
    <col min="9001" max="9020" width="11" hidden="1"/>
    <col min="9021" max="9240" width="9.44140625" hidden="1"/>
    <col min="9241" max="9242" width="2.5546875" hidden="1"/>
    <col min="9243" max="9243" width="3.44140625" hidden="1"/>
    <col min="9244" max="9244" width="15.44140625" hidden="1"/>
    <col min="9245" max="9245" width="14.5546875" hidden="1"/>
    <col min="9246" max="9246" width="12.44140625" hidden="1"/>
    <col min="9247" max="9255" width="11" hidden="1"/>
    <col min="9256" max="9256" width="11.5546875" hidden="1"/>
    <col min="9257" max="9276" width="11" hidden="1"/>
    <col min="9277" max="9496" width="9.44140625" hidden="1"/>
    <col min="9497" max="9498" width="2.5546875" hidden="1"/>
    <col min="9499" max="9499" width="3.44140625" hidden="1"/>
    <col min="9500" max="9500" width="15.44140625" hidden="1"/>
    <col min="9501" max="9501" width="14.5546875" hidden="1"/>
    <col min="9502" max="9502" width="12.44140625" hidden="1"/>
    <col min="9503" max="9511" width="11" hidden="1"/>
    <col min="9512" max="9512" width="11.5546875" hidden="1"/>
    <col min="9513" max="9532" width="11" hidden="1"/>
    <col min="9533" max="9752" width="9.44140625" hidden="1"/>
    <col min="9753" max="9754" width="2.5546875" hidden="1"/>
    <col min="9755" max="9755" width="3.44140625" hidden="1"/>
    <col min="9756" max="9756" width="15.44140625" hidden="1"/>
    <col min="9757" max="9757" width="14.5546875" hidden="1"/>
    <col min="9758" max="9758" width="12.44140625" hidden="1"/>
    <col min="9759" max="9767" width="11" hidden="1"/>
    <col min="9768" max="9768" width="11.5546875" hidden="1"/>
    <col min="9769" max="9788" width="11" hidden="1"/>
    <col min="9789" max="10008" width="9.44140625" hidden="1"/>
    <col min="10009" max="10010" width="2.5546875" hidden="1"/>
    <col min="10011" max="10011" width="3.44140625" hidden="1"/>
    <col min="10012" max="10012" width="15.44140625" hidden="1"/>
    <col min="10013" max="10013" width="14.5546875" hidden="1"/>
    <col min="10014" max="10014" width="12.44140625" hidden="1"/>
    <col min="10015" max="10023" width="11" hidden="1"/>
    <col min="10024" max="10024" width="11.5546875" hidden="1"/>
    <col min="10025" max="10044" width="11" hidden="1"/>
    <col min="10045" max="10264" width="9.44140625" hidden="1"/>
    <col min="10265" max="10266" width="2.5546875" hidden="1"/>
    <col min="10267" max="10267" width="3.44140625" hidden="1"/>
    <col min="10268" max="10268" width="15.44140625" hidden="1"/>
    <col min="10269" max="10269" width="14.5546875" hidden="1"/>
    <col min="10270" max="10270" width="12.44140625" hidden="1"/>
    <col min="10271" max="10279" width="11" hidden="1"/>
    <col min="10280" max="10280" width="11.5546875" hidden="1"/>
    <col min="10281" max="10300" width="11" hidden="1"/>
    <col min="10301" max="10520" width="9.44140625" hidden="1"/>
    <col min="10521" max="10522" width="2.5546875" hidden="1"/>
    <col min="10523" max="10523" width="3.44140625" hidden="1"/>
    <col min="10524" max="10524" width="15.44140625" hidden="1"/>
    <col min="10525" max="10525" width="14.5546875" hidden="1"/>
    <col min="10526" max="10526" width="12.44140625" hidden="1"/>
    <col min="10527" max="10535" width="11" hidden="1"/>
    <col min="10536" max="10536" width="11.5546875" hidden="1"/>
    <col min="10537" max="10556" width="11" hidden="1"/>
    <col min="10557" max="10776" width="9.44140625" hidden="1"/>
    <col min="10777" max="10778" width="2.5546875" hidden="1"/>
    <col min="10779" max="10779" width="3.44140625" hidden="1"/>
    <col min="10780" max="10780" width="15.44140625" hidden="1"/>
    <col min="10781" max="10781" width="14.5546875" hidden="1"/>
    <col min="10782" max="10782" width="12.44140625" hidden="1"/>
    <col min="10783" max="10791" width="11" hidden="1"/>
    <col min="10792" max="10792" width="11.5546875" hidden="1"/>
    <col min="10793" max="10812" width="11" hidden="1"/>
    <col min="10813" max="11032" width="9.44140625" hidden="1"/>
    <col min="11033" max="11034" width="2.5546875" hidden="1"/>
    <col min="11035" max="11035" width="3.44140625" hidden="1"/>
    <col min="11036" max="11036" width="15.44140625" hidden="1"/>
    <col min="11037" max="11037" width="14.5546875" hidden="1"/>
    <col min="11038" max="11038" width="12.44140625" hidden="1"/>
    <col min="11039" max="11047" width="11" hidden="1"/>
    <col min="11048" max="11048" width="11.5546875" hidden="1"/>
    <col min="11049" max="11068" width="11" hidden="1"/>
    <col min="11069" max="11288" width="9.44140625" hidden="1"/>
    <col min="11289" max="11290" width="2.5546875" hidden="1"/>
    <col min="11291" max="11291" width="3.44140625" hidden="1"/>
    <col min="11292" max="11292" width="15.44140625" hidden="1"/>
    <col min="11293" max="11293" width="14.5546875" hidden="1"/>
    <col min="11294" max="11294" width="12.44140625" hidden="1"/>
    <col min="11295" max="11303" width="11" hidden="1"/>
    <col min="11304" max="11304" width="11.5546875" hidden="1"/>
    <col min="11305" max="11324" width="11" hidden="1"/>
    <col min="11325" max="11544" width="9.44140625" hidden="1"/>
    <col min="11545" max="11546" width="2.5546875" hidden="1"/>
    <col min="11547" max="11547" width="3.44140625" hidden="1"/>
    <col min="11548" max="11548" width="15.44140625" hidden="1"/>
    <col min="11549" max="11549" width="14.5546875" hidden="1"/>
    <col min="11550" max="11550" width="12.44140625" hidden="1"/>
    <col min="11551" max="11559" width="11" hidden="1"/>
    <col min="11560" max="11560" width="11.5546875" hidden="1"/>
    <col min="11561" max="11580" width="11" hidden="1"/>
    <col min="11581" max="11800" width="9.44140625" hidden="1"/>
    <col min="11801" max="11802" width="2.5546875" hidden="1"/>
    <col min="11803" max="11803" width="3.44140625" hidden="1"/>
    <col min="11804" max="11804" width="15.44140625" hidden="1"/>
    <col min="11805" max="11805" width="14.5546875" hidden="1"/>
    <col min="11806" max="11806" width="12.44140625" hidden="1"/>
    <col min="11807" max="11815" width="11" hidden="1"/>
    <col min="11816" max="11816" width="11.5546875" hidden="1"/>
    <col min="11817" max="11836" width="11" hidden="1"/>
    <col min="11837" max="12056" width="9.44140625" hidden="1"/>
    <col min="12057" max="12058" width="2.5546875" hidden="1"/>
    <col min="12059" max="12059" width="3.44140625" hidden="1"/>
    <col min="12060" max="12060" width="15.44140625" hidden="1"/>
    <col min="12061" max="12061" width="14.5546875" hidden="1"/>
    <col min="12062" max="12062" width="12.44140625" hidden="1"/>
    <col min="12063" max="12071" width="11" hidden="1"/>
    <col min="12072" max="12072" width="11.5546875" hidden="1"/>
    <col min="12073" max="12092" width="11" hidden="1"/>
    <col min="12093" max="12312" width="9.44140625" hidden="1"/>
    <col min="12313" max="12314" width="2.5546875" hidden="1"/>
    <col min="12315" max="12315" width="3.44140625" hidden="1"/>
    <col min="12316" max="12316" width="15.44140625" hidden="1"/>
    <col min="12317" max="12317" width="14.5546875" hidden="1"/>
    <col min="12318" max="12318" width="12.44140625" hidden="1"/>
    <col min="12319" max="12327" width="11" hidden="1"/>
    <col min="12328" max="12328" width="11.5546875" hidden="1"/>
    <col min="12329" max="12348" width="11" hidden="1"/>
    <col min="12349" max="12568" width="9.44140625" hidden="1"/>
    <col min="12569" max="12570" width="2.5546875" hidden="1"/>
    <col min="12571" max="12571" width="3.44140625" hidden="1"/>
    <col min="12572" max="12572" width="15.44140625" hidden="1"/>
    <col min="12573" max="12573" width="14.5546875" hidden="1"/>
    <col min="12574" max="12574" width="12.44140625" hidden="1"/>
    <col min="12575" max="12583" width="11" hidden="1"/>
    <col min="12584" max="12584" width="11.5546875" hidden="1"/>
    <col min="12585" max="12604" width="11" hidden="1"/>
    <col min="12605" max="12824" width="9.44140625" hidden="1"/>
    <col min="12825" max="12826" width="2.5546875" hidden="1"/>
    <col min="12827" max="12827" width="3.44140625" hidden="1"/>
    <col min="12828" max="12828" width="15.44140625" hidden="1"/>
    <col min="12829" max="12829" width="14.5546875" hidden="1"/>
    <col min="12830" max="12830" width="12.44140625" hidden="1"/>
    <col min="12831" max="12839" width="11" hidden="1"/>
    <col min="12840" max="12840" width="11.5546875" hidden="1"/>
    <col min="12841" max="12860" width="11" hidden="1"/>
    <col min="12861" max="13080" width="9.44140625" hidden="1"/>
    <col min="13081" max="13082" width="2.5546875" hidden="1"/>
    <col min="13083" max="13083" width="3.44140625" hidden="1"/>
    <col min="13084" max="13084" width="15.44140625" hidden="1"/>
    <col min="13085" max="13085" width="14.5546875" hidden="1"/>
    <col min="13086" max="13086" width="12.44140625" hidden="1"/>
    <col min="13087" max="13095" width="11" hidden="1"/>
    <col min="13096" max="13096" width="11.5546875" hidden="1"/>
    <col min="13097" max="13116" width="11" hidden="1"/>
    <col min="13117" max="13336" width="9.44140625" hidden="1"/>
    <col min="13337" max="13338" width="2.5546875" hidden="1"/>
    <col min="13339" max="13339" width="3.44140625" hidden="1"/>
    <col min="13340" max="13340" width="15.44140625" hidden="1"/>
    <col min="13341" max="13341" width="14.5546875" hidden="1"/>
    <col min="13342" max="13342" width="12.44140625" hidden="1"/>
    <col min="13343" max="13351" width="11" hidden="1"/>
    <col min="13352" max="13352" width="11.5546875" hidden="1"/>
    <col min="13353" max="13372" width="11" hidden="1"/>
    <col min="13373" max="13592" width="9.44140625" hidden="1"/>
    <col min="13593" max="13594" width="2.5546875" hidden="1"/>
    <col min="13595" max="13595" width="3.44140625" hidden="1"/>
    <col min="13596" max="13596" width="15.44140625" hidden="1"/>
    <col min="13597" max="13597" width="14.5546875" hidden="1"/>
    <col min="13598" max="13598" width="12.44140625" hidden="1"/>
    <col min="13599" max="13607" width="11" hidden="1"/>
    <col min="13608" max="13608" width="11.5546875" hidden="1"/>
    <col min="13609" max="13628" width="11" hidden="1"/>
    <col min="13629" max="13848" width="9.44140625" hidden="1"/>
    <col min="13849" max="13850" width="2.5546875" hidden="1"/>
    <col min="13851" max="13851" width="3.44140625" hidden="1"/>
    <col min="13852" max="13852" width="15.44140625" hidden="1"/>
    <col min="13853" max="13853" width="14.5546875" hidden="1"/>
    <col min="13854" max="13854" width="12.44140625" hidden="1"/>
    <col min="13855" max="13863" width="11" hidden="1"/>
    <col min="13864" max="13864" width="11.5546875" hidden="1"/>
    <col min="13865" max="13884" width="11" hidden="1"/>
    <col min="13885" max="14104" width="9.44140625" hidden="1"/>
    <col min="14105" max="14106" width="2.5546875" hidden="1"/>
    <col min="14107" max="14107" width="3.44140625" hidden="1"/>
    <col min="14108" max="14108" width="15.44140625" hidden="1"/>
    <col min="14109" max="14109" width="14.5546875" hidden="1"/>
    <col min="14110" max="14110" width="12.44140625" hidden="1"/>
    <col min="14111" max="14119" width="11" hidden="1"/>
    <col min="14120" max="14120" width="11.5546875" hidden="1"/>
    <col min="14121" max="14140" width="11" hidden="1"/>
    <col min="14141" max="14360" width="9.44140625" hidden="1"/>
    <col min="14361" max="14362" width="2.5546875" hidden="1"/>
    <col min="14363" max="14363" width="3.44140625" hidden="1"/>
    <col min="14364" max="14364" width="15.44140625" hidden="1"/>
    <col min="14365" max="14365" width="14.5546875" hidden="1"/>
    <col min="14366" max="14366" width="12.44140625" hidden="1"/>
    <col min="14367" max="14375" width="11" hidden="1"/>
    <col min="14376" max="14376" width="11.5546875" hidden="1"/>
    <col min="14377" max="14396" width="11" hidden="1"/>
    <col min="14397" max="14616" width="9.44140625" hidden="1"/>
    <col min="14617" max="14618" width="2.5546875" hidden="1"/>
    <col min="14619" max="14619" width="3.44140625" hidden="1"/>
    <col min="14620" max="14620" width="15.44140625" hidden="1"/>
    <col min="14621" max="14621" width="14.5546875" hidden="1"/>
    <col min="14622" max="14622" width="12.44140625" hidden="1"/>
    <col min="14623" max="14631" width="11" hidden="1"/>
    <col min="14632" max="14632" width="11.5546875" hidden="1"/>
    <col min="14633" max="14652" width="11" hidden="1"/>
    <col min="14653" max="14872" width="9.44140625" hidden="1"/>
    <col min="14873" max="14874" width="2.5546875" hidden="1"/>
    <col min="14875" max="14875" width="3.44140625" hidden="1"/>
    <col min="14876" max="14876" width="15.44140625" hidden="1"/>
    <col min="14877" max="14877" width="14.5546875" hidden="1"/>
    <col min="14878" max="14878" width="12.44140625" hidden="1"/>
    <col min="14879" max="14887" width="11" hidden="1"/>
    <col min="14888" max="14888" width="11.5546875" hidden="1"/>
    <col min="14889" max="14908" width="11" hidden="1"/>
    <col min="14909" max="15128" width="9.44140625" hidden="1"/>
    <col min="15129" max="15130" width="2.5546875" hidden="1"/>
    <col min="15131" max="15131" width="3.44140625" hidden="1"/>
    <col min="15132" max="15132" width="15.44140625" hidden="1"/>
    <col min="15133" max="15133" width="14.5546875" hidden="1"/>
    <col min="15134" max="15134" width="12.44140625" hidden="1"/>
    <col min="15135" max="15143" width="11" hidden="1"/>
    <col min="15144" max="15144" width="11.5546875" hidden="1"/>
    <col min="15145" max="15164" width="11" hidden="1"/>
    <col min="15165" max="15384" width="9.44140625" hidden="1"/>
    <col min="15385" max="15386" width="2.5546875" hidden="1"/>
    <col min="15387" max="15387" width="3.44140625" hidden="1"/>
    <col min="15388" max="15388" width="15.44140625" hidden="1"/>
    <col min="15389" max="15389" width="14.5546875" hidden="1"/>
    <col min="15390" max="15390" width="12.44140625" hidden="1"/>
    <col min="15391" max="15399" width="11" hidden="1"/>
    <col min="15400" max="15400" width="11.5546875" hidden="1"/>
    <col min="15401" max="15420" width="11" hidden="1"/>
    <col min="15421" max="15640" width="9.44140625" hidden="1"/>
    <col min="15641" max="15642" width="2.5546875" hidden="1"/>
    <col min="15643" max="15643" width="3.44140625" hidden="1"/>
    <col min="15644" max="15644" width="15.44140625" hidden="1"/>
    <col min="15645" max="15645" width="14.5546875" hidden="1"/>
    <col min="15646" max="15646" width="12.44140625" hidden="1"/>
    <col min="15647" max="15655" width="11" hidden="1"/>
    <col min="15656" max="15656" width="11.5546875" hidden="1"/>
    <col min="15657" max="15676" width="11" hidden="1"/>
    <col min="15677" max="15896" width="9.44140625" hidden="1"/>
    <col min="15897" max="15898" width="2.5546875" hidden="1"/>
    <col min="15899" max="15899" width="3.44140625" hidden="1"/>
    <col min="15900" max="15900" width="15.44140625" hidden="1"/>
    <col min="15901" max="15901" width="14.5546875" hidden="1"/>
    <col min="15902" max="15902" width="12.44140625" hidden="1"/>
    <col min="15903" max="15911" width="11" hidden="1"/>
    <col min="15912" max="15912" width="11.5546875" hidden="1"/>
    <col min="15913" max="15932" width="11" hidden="1"/>
  </cols>
  <sheetData>
    <row r="1" spans="1:31" ht="21" x14ac:dyDescent="0.4">
      <c r="A1" s="959" t="s">
        <v>629</v>
      </c>
      <c r="B1" s="959"/>
      <c r="C1" s="959"/>
      <c r="D1" s="959"/>
      <c r="E1" s="959"/>
      <c r="F1" s="959"/>
      <c r="G1" s="959"/>
      <c r="H1" s="959"/>
      <c r="I1" s="959"/>
      <c r="J1" s="959"/>
      <c r="K1" s="959"/>
      <c r="L1" s="959"/>
      <c r="M1" s="959"/>
      <c r="N1" s="959"/>
      <c r="O1" s="959"/>
      <c r="P1" s="959"/>
      <c r="Q1" s="959"/>
      <c r="R1" s="959"/>
      <c r="S1" s="959"/>
      <c r="T1" s="959"/>
      <c r="U1" s="959"/>
      <c r="V1" s="959"/>
      <c r="W1" s="959"/>
      <c r="X1" s="959"/>
      <c r="Y1" s="959"/>
      <c r="Z1" s="959"/>
      <c r="AA1" s="959"/>
      <c r="AB1" s="959"/>
      <c r="AC1" s="959"/>
      <c r="AD1" s="959"/>
      <c r="AE1" s="959"/>
    </row>
    <row r="2" spans="1:31" ht="15.6" x14ac:dyDescent="0.3">
      <c r="A2" s="70" t="str">
        <f>'Fin Inputs'!$A$2</f>
        <v>Storage Financial Analysis Model</v>
      </c>
      <c r="F2" s="5"/>
    </row>
    <row r="3" spans="1:31" x14ac:dyDescent="0.3">
      <c r="A3" s="74"/>
      <c r="C3" s="74"/>
      <c r="F3" s="5"/>
    </row>
    <row r="4" spans="1:31" x14ac:dyDescent="0.3">
      <c r="A4" s="77" t="str">
        <f>'Fin Inputs'!$A$4</f>
        <v>all monetary amounts are in nominal USD</v>
      </c>
    </row>
    <row r="5" spans="1:31" x14ac:dyDescent="0.3">
      <c r="E5" s="73"/>
      <c r="F5" s="129">
        <f>'Rev&amp;Exp'!F4</f>
        <v>2027</v>
      </c>
      <c r="G5" s="129">
        <f>'Rev&amp;Exp'!G4</f>
        <v>2028</v>
      </c>
      <c r="H5" s="129">
        <f>'Rev&amp;Exp'!H4</f>
        <v>2029</v>
      </c>
      <c r="I5" s="129">
        <f>'Rev&amp;Exp'!I4</f>
        <v>2030</v>
      </c>
      <c r="J5" s="129">
        <f>'Rev&amp;Exp'!J4</f>
        <v>2031</v>
      </c>
      <c r="K5" s="129">
        <f>'Rev&amp;Exp'!K4</f>
        <v>2032</v>
      </c>
      <c r="L5" s="129">
        <f>'Rev&amp;Exp'!L4</f>
        <v>2033</v>
      </c>
      <c r="M5" s="129">
        <f>'Rev&amp;Exp'!M4</f>
        <v>2034</v>
      </c>
      <c r="N5" s="129">
        <f>'Rev&amp;Exp'!N4</f>
        <v>2035</v>
      </c>
      <c r="O5" s="129">
        <f>'Rev&amp;Exp'!O4</f>
        <v>2036</v>
      </c>
      <c r="P5" s="129">
        <f>'Rev&amp;Exp'!P4</f>
        <v>2037</v>
      </c>
      <c r="Q5" s="129">
        <f>'Rev&amp;Exp'!Q4</f>
        <v>2038</v>
      </c>
      <c r="R5" s="129">
        <f>'Rev&amp;Exp'!R4</f>
        <v>2039</v>
      </c>
      <c r="S5" s="129">
        <f>'Rev&amp;Exp'!S4</f>
        <v>2040</v>
      </c>
      <c r="T5" s="129">
        <f>'Rev&amp;Exp'!T4</f>
        <v>2041</v>
      </c>
      <c r="U5" s="129">
        <f>'Rev&amp;Exp'!U4</f>
        <v>2042</v>
      </c>
      <c r="V5" s="129">
        <f>'Rev&amp;Exp'!V4</f>
        <v>2043</v>
      </c>
      <c r="W5" s="129">
        <f>'Rev&amp;Exp'!W4</f>
        <v>2044</v>
      </c>
      <c r="X5" s="129">
        <f>'Rev&amp;Exp'!X4</f>
        <v>2045</v>
      </c>
      <c r="Y5" s="129">
        <f>'Rev&amp;Exp'!Y4</f>
        <v>2046</v>
      </c>
      <c r="Z5" s="129">
        <f>'Rev&amp;Exp'!Z4</f>
        <v>2047</v>
      </c>
      <c r="AA5" s="129">
        <f>'Rev&amp;Exp'!AA4</f>
        <v>2048</v>
      </c>
      <c r="AB5" s="129">
        <f>'Rev&amp;Exp'!AB4</f>
        <v>2049</v>
      </c>
      <c r="AC5" s="129">
        <f>'Rev&amp;Exp'!AC4</f>
        <v>2050</v>
      </c>
      <c r="AD5" s="129">
        <f>'Rev&amp;Exp'!AD4</f>
        <v>2051</v>
      </c>
      <c r="AE5" s="129">
        <f>'Rev&amp;Exp'!AE4</f>
        <v>2052</v>
      </c>
    </row>
    <row r="6" spans="1:31" ht="15" thickBot="1" x14ac:dyDescent="0.35">
      <c r="B6" s="130" t="s">
        <v>299</v>
      </c>
      <c r="C6" s="124"/>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row>
    <row r="7" spans="1:31" x14ac:dyDescent="0.3">
      <c r="F7" s="123"/>
      <c r="G7" s="123">
        <v>1</v>
      </c>
      <c r="H7" s="123">
        <f t="shared" ref="H7:AE7" si="0">G7+1</f>
        <v>2</v>
      </c>
      <c r="I7" s="123">
        <f t="shared" si="0"/>
        <v>3</v>
      </c>
      <c r="J7" s="123">
        <f t="shared" si="0"/>
        <v>4</v>
      </c>
      <c r="K7" s="123">
        <f t="shared" si="0"/>
        <v>5</v>
      </c>
      <c r="L7" s="123">
        <f t="shared" si="0"/>
        <v>6</v>
      </c>
      <c r="M7" s="123">
        <f t="shared" si="0"/>
        <v>7</v>
      </c>
      <c r="N7" s="123">
        <f t="shared" si="0"/>
        <v>8</v>
      </c>
      <c r="O7" s="123">
        <f t="shared" si="0"/>
        <v>9</v>
      </c>
      <c r="P7" s="123">
        <f t="shared" si="0"/>
        <v>10</v>
      </c>
      <c r="Q7" s="123">
        <f t="shared" si="0"/>
        <v>11</v>
      </c>
      <c r="R7" s="123">
        <f t="shared" si="0"/>
        <v>12</v>
      </c>
      <c r="S7" s="123">
        <f t="shared" si="0"/>
        <v>13</v>
      </c>
      <c r="T7" s="123">
        <f t="shared" si="0"/>
        <v>14</v>
      </c>
      <c r="U7" s="123">
        <f t="shared" si="0"/>
        <v>15</v>
      </c>
      <c r="V7" s="123">
        <f t="shared" si="0"/>
        <v>16</v>
      </c>
      <c r="W7" s="123">
        <f t="shared" si="0"/>
        <v>17</v>
      </c>
      <c r="X7" s="123">
        <f t="shared" si="0"/>
        <v>18</v>
      </c>
      <c r="Y7" s="123">
        <f t="shared" si="0"/>
        <v>19</v>
      </c>
      <c r="Z7" s="123">
        <f t="shared" si="0"/>
        <v>20</v>
      </c>
      <c r="AA7" s="123">
        <f t="shared" si="0"/>
        <v>21</v>
      </c>
      <c r="AB7" s="123">
        <f t="shared" si="0"/>
        <v>22</v>
      </c>
      <c r="AC7" s="123">
        <f t="shared" si="0"/>
        <v>23</v>
      </c>
      <c r="AD7" s="123">
        <f t="shared" si="0"/>
        <v>24</v>
      </c>
      <c r="AE7" s="123">
        <f t="shared" si="0"/>
        <v>25</v>
      </c>
    </row>
    <row r="8" spans="1:31" x14ac:dyDescent="0.3">
      <c r="C8" t="s">
        <v>300</v>
      </c>
      <c r="F8">
        <v>0</v>
      </c>
      <c r="G8" s="131">
        <f>'Rev&amp;Exp'!G34</f>
        <v>3002.6560790903977</v>
      </c>
      <c r="H8" s="131">
        <f>'Rev&amp;Exp'!H34</f>
        <v>969.8463346639362</v>
      </c>
      <c r="I8" s="131">
        <f>'Rev&amp;Exp'!I34</f>
        <v>848.39798122317279</v>
      </c>
      <c r="J8" s="131">
        <f>'Rev&amp;Exp'!J34</f>
        <v>889.9459353786533</v>
      </c>
      <c r="K8" s="131">
        <f>'Rev&amp;Exp'!K34</f>
        <v>941.06552288199987</v>
      </c>
      <c r="L8" s="131">
        <f>'Rev&amp;Exp'!L34</f>
        <v>966.89417760271601</v>
      </c>
      <c r="M8" s="131">
        <f>'Rev&amp;Exp'!M34</f>
        <v>992.72283232343227</v>
      </c>
      <c r="N8" s="131">
        <f>'Rev&amp;Exp'!N34</f>
        <v>1018.5514870441484</v>
      </c>
      <c r="O8" s="131">
        <f>'Rev&amp;Exp'!O34</f>
        <v>1044.3801417648647</v>
      </c>
      <c r="P8" s="131">
        <f>'Rev&amp;Exp'!P34</f>
        <v>1070.2087964855809</v>
      </c>
      <c r="Q8" s="131">
        <f>'Rev&amp;Exp'!Q34</f>
        <v>1128.4050797775353</v>
      </c>
      <c r="R8" s="131">
        <f>'Rev&amp;Exp'!R34</f>
        <v>1186.6013630694899</v>
      </c>
      <c r="S8" s="131">
        <f>'Rev&amp;Exp'!S34</f>
        <v>1244.7976463614445</v>
      </c>
      <c r="T8" s="131">
        <f>'Rev&amp;Exp'!T34</f>
        <v>1302.9939296533989</v>
      </c>
      <c r="U8" s="131">
        <f>'Rev&amp;Exp'!U34</f>
        <v>1361.1902129453536</v>
      </c>
      <c r="V8" s="131">
        <f>'Rev&amp;Exp'!V34</f>
        <v>1411.7700763604128</v>
      </c>
      <c r="W8" s="131">
        <f>'Rev&amp;Exp'!W34</f>
        <v>1462.3499397754722</v>
      </c>
      <c r="X8" s="131">
        <f>'Rev&amp;Exp'!X34</f>
        <v>1512.9298031905312</v>
      </c>
      <c r="Y8" s="131">
        <f>'Rev&amp;Exp'!Y34</f>
        <v>1563.5096666055904</v>
      </c>
      <c r="Z8" s="131">
        <f>'Rev&amp;Exp'!Z34</f>
        <v>1614.0895300206498</v>
      </c>
      <c r="AA8" s="131">
        <f>'Rev&amp;Exp'!AA34</f>
        <v>0</v>
      </c>
      <c r="AB8" s="131">
        <f>'Rev&amp;Exp'!AB34</f>
        <v>0</v>
      </c>
      <c r="AC8" s="131">
        <f>'Rev&amp;Exp'!AC34</f>
        <v>0</v>
      </c>
      <c r="AD8" s="131">
        <f>'Rev&amp;Exp'!AD34</f>
        <v>0</v>
      </c>
      <c r="AE8" s="131">
        <f>'Rev&amp;Exp'!AE34</f>
        <v>0</v>
      </c>
    </row>
    <row r="9" spans="1:31" x14ac:dyDescent="0.3">
      <c r="C9" t="s">
        <v>53</v>
      </c>
      <c r="F9">
        <v>0</v>
      </c>
      <c r="G9" s="132">
        <f>'Rev&amp;Exp'!G53</f>
        <v>-385</v>
      </c>
      <c r="H9" s="132">
        <f>'Rev&amp;Exp'!H53</f>
        <v>-385</v>
      </c>
      <c r="I9" s="132">
        <f>'Rev&amp;Exp'!I53</f>
        <v>-385</v>
      </c>
      <c r="J9" s="132">
        <f>'Rev&amp;Exp'!J53</f>
        <v>-392.7</v>
      </c>
      <c r="K9" s="132">
        <f>'Rev&amp;Exp'!K53</f>
        <v>-400.55399999999997</v>
      </c>
      <c r="L9" s="132">
        <f>'Rev&amp;Exp'!L53</f>
        <v>-408.56507999999997</v>
      </c>
      <c r="M9" s="132">
        <f>'Rev&amp;Exp'!M53</f>
        <v>-416.73638159999996</v>
      </c>
      <c r="N9" s="132">
        <f>'Rev&amp;Exp'!N53</f>
        <v>-425.07110923199997</v>
      </c>
      <c r="O9" s="132">
        <f>'Rev&amp;Exp'!O53</f>
        <v>-433.57253141664</v>
      </c>
      <c r="P9" s="132">
        <f>'Rev&amp;Exp'!P53</f>
        <v>-442.24398204497282</v>
      </c>
      <c r="Q9" s="132">
        <f>'Rev&amp;Exp'!Q53</f>
        <v>-451.0888616858723</v>
      </c>
      <c r="R9" s="132">
        <f>'Rev&amp;Exp'!R53</f>
        <v>-460.11063891958975</v>
      </c>
      <c r="S9" s="132">
        <f>'Rev&amp;Exp'!S53</f>
        <v>-469.31285169798156</v>
      </c>
      <c r="T9" s="132">
        <f>'Rev&amp;Exp'!T53</f>
        <v>-478.69910873194118</v>
      </c>
      <c r="U9" s="132">
        <f>'Rev&amp;Exp'!U53</f>
        <v>-488.27309090658002</v>
      </c>
      <c r="V9" s="132">
        <f>'Rev&amp;Exp'!V53</f>
        <v>-498.03855272471162</v>
      </c>
      <c r="W9" s="132">
        <f>'Rev&amp;Exp'!W53</f>
        <v>-507.99932377920584</v>
      </c>
      <c r="X9" s="132">
        <f>'Rev&amp;Exp'!X53</f>
        <v>-518.15931025478994</v>
      </c>
      <c r="Y9" s="132">
        <f>'Rev&amp;Exp'!Y53</f>
        <v>-528.5224964598857</v>
      </c>
      <c r="Z9" s="132">
        <f>'Rev&amp;Exp'!Z53</f>
        <v>-539.09294638908341</v>
      </c>
      <c r="AA9" s="132">
        <f>'Rev&amp;Exp'!AA53</f>
        <v>0</v>
      </c>
      <c r="AB9" s="132">
        <f>'Rev&amp;Exp'!AB53</f>
        <v>0</v>
      </c>
      <c r="AC9" s="132">
        <f>'Rev&amp;Exp'!AC53</f>
        <v>0</v>
      </c>
      <c r="AD9" s="132">
        <f>'Rev&amp;Exp'!AD53</f>
        <v>0</v>
      </c>
      <c r="AE9" s="132">
        <f>'Rev&amp;Exp'!AE53</f>
        <v>0</v>
      </c>
    </row>
    <row r="10" spans="1:31" x14ac:dyDescent="0.3">
      <c r="C10" s="133" t="s">
        <v>46</v>
      </c>
      <c r="G10" s="134">
        <f t="shared" ref="G10:AE10" si="1">G8+G9</f>
        <v>2617.6560790903977</v>
      </c>
      <c r="H10" s="134">
        <f t="shared" si="1"/>
        <v>584.8463346639362</v>
      </c>
      <c r="I10" s="134">
        <f t="shared" si="1"/>
        <v>463.39798122317279</v>
      </c>
      <c r="J10" s="134">
        <f t="shared" si="1"/>
        <v>497.24593537865331</v>
      </c>
      <c r="K10" s="134">
        <f t="shared" si="1"/>
        <v>540.51152288199989</v>
      </c>
      <c r="L10" s="134">
        <f t="shared" si="1"/>
        <v>558.32909760271605</v>
      </c>
      <c r="M10" s="134">
        <f t="shared" si="1"/>
        <v>575.98645072343231</v>
      </c>
      <c r="N10" s="134">
        <f t="shared" si="1"/>
        <v>593.48037781214839</v>
      </c>
      <c r="O10" s="134">
        <f t="shared" si="1"/>
        <v>610.80761034822467</v>
      </c>
      <c r="P10" s="134">
        <f t="shared" si="1"/>
        <v>627.96481444060805</v>
      </c>
      <c r="Q10" s="134">
        <f t="shared" si="1"/>
        <v>677.31621809166302</v>
      </c>
      <c r="R10" s="134">
        <f t="shared" si="1"/>
        <v>726.49072414990019</v>
      </c>
      <c r="S10" s="134">
        <f t="shared" si="1"/>
        <v>775.48479466346294</v>
      </c>
      <c r="T10" s="134">
        <f t="shared" si="1"/>
        <v>824.29482092145781</v>
      </c>
      <c r="U10" s="134">
        <f t="shared" si="1"/>
        <v>872.91712203877353</v>
      </c>
      <c r="V10" s="134">
        <f t="shared" si="1"/>
        <v>913.73152363570114</v>
      </c>
      <c r="W10" s="134">
        <f t="shared" si="1"/>
        <v>954.35061599626636</v>
      </c>
      <c r="X10" s="134">
        <f t="shared" si="1"/>
        <v>994.77049293574123</v>
      </c>
      <c r="Y10" s="134">
        <f t="shared" si="1"/>
        <v>1034.9871701457046</v>
      </c>
      <c r="Z10" s="134">
        <f t="shared" si="1"/>
        <v>1074.9965836315664</v>
      </c>
      <c r="AA10" s="134">
        <f t="shared" si="1"/>
        <v>0</v>
      </c>
      <c r="AB10" s="134">
        <f t="shared" si="1"/>
        <v>0</v>
      </c>
      <c r="AC10" s="134">
        <f t="shared" si="1"/>
        <v>0</v>
      </c>
      <c r="AD10" s="134">
        <f t="shared" si="1"/>
        <v>0</v>
      </c>
      <c r="AE10" s="134">
        <f t="shared" si="1"/>
        <v>0</v>
      </c>
    </row>
    <row r="12" spans="1:31" x14ac:dyDescent="0.3">
      <c r="C12" t="s">
        <v>67</v>
      </c>
      <c r="G12" s="131">
        <f>-'Dep-Tax-WC'!J13</f>
        <v>-596.74250000000006</v>
      </c>
      <c r="H12" s="131">
        <f>-'Dep-Tax-WC'!K13</f>
        <v>-596.74250000000006</v>
      </c>
      <c r="I12" s="131">
        <f>-'Dep-Tax-WC'!L13</f>
        <v>-596.74250000000006</v>
      </c>
      <c r="J12" s="131">
        <f>-'Dep-Tax-WC'!M13</f>
        <v>-596.74250000000006</v>
      </c>
      <c r="K12" s="131">
        <f>-'Dep-Tax-WC'!N13</f>
        <v>-596.74250000000006</v>
      </c>
      <c r="L12" s="131">
        <f>-'Dep-Tax-WC'!O13</f>
        <v>-596.74250000000006</v>
      </c>
      <c r="M12" s="131">
        <f>-'Dep-Tax-WC'!P13</f>
        <v>-596.74250000000006</v>
      </c>
      <c r="N12" s="131">
        <f>-'Dep-Tax-WC'!Q13</f>
        <v>-596.74250000000006</v>
      </c>
      <c r="O12" s="131">
        <f>-'Dep-Tax-WC'!R13</f>
        <v>-596.74250000000006</v>
      </c>
      <c r="P12" s="131">
        <f>-'Dep-Tax-WC'!S13</f>
        <v>-596.74250000000006</v>
      </c>
      <c r="Q12" s="131">
        <f>-'Dep-Tax-WC'!T13</f>
        <v>-596.74250000000006</v>
      </c>
      <c r="R12" s="131">
        <f>-'Dep-Tax-WC'!U13</f>
        <v>-596.74250000000006</v>
      </c>
      <c r="S12" s="131">
        <f>-'Dep-Tax-WC'!V13</f>
        <v>-596.74250000000006</v>
      </c>
      <c r="T12" s="131">
        <f>-'Dep-Tax-WC'!W13</f>
        <v>-596.74250000000006</v>
      </c>
      <c r="U12" s="131">
        <f>-'Dep-Tax-WC'!X13</f>
        <v>-596.74250000000006</v>
      </c>
      <c r="V12" s="131">
        <f>-'Dep-Tax-WC'!Y13</f>
        <v>-596.74250000000006</v>
      </c>
      <c r="W12" s="131">
        <f>-'Dep-Tax-WC'!Z13</f>
        <v>-596.74250000000006</v>
      </c>
      <c r="X12" s="131">
        <f>-'Dep-Tax-WC'!AA13</f>
        <v>-596.74250000000006</v>
      </c>
      <c r="Y12" s="131">
        <f>-'Dep-Tax-WC'!AB13</f>
        <v>-596.74250000000006</v>
      </c>
      <c r="Z12" s="131">
        <f>-'Dep-Tax-WC'!AC13</f>
        <v>-596.74250000000006</v>
      </c>
      <c r="AA12" s="131">
        <f>-'Dep-Tax-WC'!AD13</f>
        <v>0</v>
      </c>
      <c r="AB12" s="131">
        <f>-'Dep-Tax-WC'!AE13</f>
        <v>0</v>
      </c>
      <c r="AC12" s="131">
        <f>-'Dep-Tax-WC'!AF13</f>
        <v>0</v>
      </c>
      <c r="AD12" s="131">
        <f>-'Dep-Tax-WC'!AG13</f>
        <v>0</v>
      </c>
      <c r="AE12" s="131">
        <f>-'Dep-Tax-WC'!AH13</f>
        <v>0</v>
      </c>
    </row>
    <row r="13" spans="1:31" x14ac:dyDescent="0.3">
      <c r="C13" s="133" t="s">
        <v>301</v>
      </c>
      <c r="G13" s="134">
        <f t="shared" ref="G13:AE13" si="2">G10+G12</f>
        <v>2020.9135790903977</v>
      </c>
      <c r="H13" s="134">
        <f t="shared" si="2"/>
        <v>-11.896165336063859</v>
      </c>
      <c r="I13" s="134">
        <f t="shared" si="2"/>
        <v>-133.34451877682727</v>
      </c>
      <c r="J13" s="134">
        <f t="shared" si="2"/>
        <v>-99.496564621346749</v>
      </c>
      <c r="K13" s="134">
        <f t="shared" si="2"/>
        <v>-56.230977118000169</v>
      </c>
      <c r="L13" s="134">
        <f t="shared" si="2"/>
        <v>-38.413402397284017</v>
      </c>
      <c r="M13" s="134">
        <f t="shared" si="2"/>
        <v>-20.756049276567751</v>
      </c>
      <c r="N13" s="134">
        <f t="shared" si="2"/>
        <v>-3.2621221878516735</v>
      </c>
      <c r="O13" s="134">
        <f t="shared" si="2"/>
        <v>14.065110348224607</v>
      </c>
      <c r="P13" s="134">
        <f t="shared" si="2"/>
        <v>31.222314440607988</v>
      </c>
      <c r="Q13" s="134">
        <f t="shared" si="2"/>
        <v>80.573718091662954</v>
      </c>
      <c r="R13" s="134">
        <f t="shared" si="2"/>
        <v>129.74822414990012</v>
      </c>
      <c r="S13" s="134">
        <f t="shared" si="2"/>
        <v>178.74229466346287</v>
      </c>
      <c r="T13" s="134">
        <f t="shared" si="2"/>
        <v>227.55232092145775</v>
      </c>
      <c r="U13" s="134">
        <f t="shared" si="2"/>
        <v>276.17462203877346</v>
      </c>
      <c r="V13" s="134">
        <f t="shared" si="2"/>
        <v>316.98902363570107</v>
      </c>
      <c r="W13" s="134">
        <f t="shared" si="2"/>
        <v>357.60811599626629</v>
      </c>
      <c r="X13" s="134">
        <f t="shared" si="2"/>
        <v>398.02799293574117</v>
      </c>
      <c r="Y13" s="134">
        <f t="shared" si="2"/>
        <v>438.2446701457045</v>
      </c>
      <c r="Z13" s="134">
        <f t="shared" si="2"/>
        <v>478.25408363156635</v>
      </c>
      <c r="AA13" s="134">
        <f t="shared" si="2"/>
        <v>0</v>
      </c>
      <c r="AB13" s="134">
        <f t="shared" si="2"/>
        <v>0</v>
      </c>
      <c r="AC13" s="134">
        <f t="shared" si="2"/>
        <v>0</v>
      </c>
      <c r="AD13" s="134">
        <f t="shared" si="2"/>
        <v>0</v>
      </c>
      <c r="AE13" s="134">
        <f t="shared" si="2"/>
        <v>0</v>
      </c>
    </row>
    <row r="15" spans="1:31" x14ac:dyDescent="0.3">
      <c r="C15" t="s">
        <v>302</v>
      </c>
      <c r="G15" s="131">
        <f>-Debt!G14</f>
        <v>0</v>
      </c>
      <c r="H15" s="131">
        <f>-Debt!H14</f>
        <v>0</v>
      </c>
      <c r="I15" s="131">
        <f>-Debt!I14</f>
        <v>0</v>
      </c>
      <c r="J15" s="131">
        <f>-Debt!J14</f>
        <v>0</v>
      </c>
      <c r="K15" s="131">
        <f>-Debt!K14</f>
        <v>0</v>
      </c>
      <c r="L15" s="131">
        <f>-Debt!L14</f>
        <v>0</v>
      </c>
      <c r="M15" s="131">
        <f>-Debt!M14</f>
        <v>0</v>
      </c>
      <c r="N15" s="131">
        <f>-Debt!N14</f>
        <v>0</v>
      </c>
      <c r="O15" s="131">
        <f>-Debt!O14</f>
        <v>0</v>
      </c>
      <c r="P15" s="131">
        <f>-Debt!P14</f>
        <v>0</v>
      </c>
      <c r="Q15" s="131">
        <f>-Debt!Q14</f>
        <v>0</v>
      </c>
      <c r="R15" s="131">
        <f>-Debt!R14</f>
        <v>0</v>
      </c>
      <c r="S15" s="131">
        <f>-Debt!S14</f>
        <v>0</v>
      </c>
      <c r="T15" s="131">
        <f>-Debt!T14</f>
        <v>0</v>
      </c>
      <c r="U15" s="131">
        <f>-Debt!U14</f>
        <v>0</v>
      </c>
      <c r="V15" s="131">
        <f>-Debt!V14</f>
        <v>0</v>
      </c>
      <c r="W15" s="131">
        <f>-Debt!W14</f>
        <v>0</v>
      </c>
      <c r="X15" s="131">
        <f>-Debt!X14</f>
        <v>0</v>
      </c>
      <c r="Y15" s="131">
        <f>-Debt!Y14</f>
        <v>0</v>
      </c>
      <c r="Z15" s="131">
        <f>-Debt!Z14</f>
        <v>0</v>
      </c>
      <c r="AA15" s="131">
        <f>-Debt!AA14</f>
        <v>0</v>
      </c>
      <c r="AB15" s="131">
        <f>-Debt!AB14</f>
        <v>0</v>
      </c>
      <c r="AC15" s="131">
        <f>-Debt!AC14</f>
        <v>0</v>
      </c>
      <c r="AD15" s="131">
        <f>-Debt!AD14</f>
        <v>0</v>
      </c>
      <c r="AE15" s="131">
        <f>-Debt!AE14</f>
        <v>0</v>
      </c>
    </row>
    <row r="16" spans="1:31" x14ac:dyDescent="0.3">
      <c r="C16" s="133" t="s">
        <v>107</v>
      </c>
      <c r="G16" s="134">
        <f t="shared" ref="G16:AE16" si="3">G13+G15</f>
        <v>2020.9135790903977</v>
      </c>
      <c r="H16" s="134">
        <f t="shared" si="3"/>
        <v>-11.896165336063859</v>
      </c>
      <c r="I16" s="134">
        <f t="shared" si="3"/>
        <v>-133.34451877682727</v>
      </c>
      <c r="J16" s="134">
        <f t="shared" si="3"/>
        <v>-99.496564621346749</v>
      </c>
      <c r="K16" s="134">
        <f t="shared" si="3"/>
        <v>-56.230977118000169</v>
      </c>
      <c r="L16" s="134">
        <f t="shared" si="3"/>
        <v>-38.413402397284017</v>
      </c>
      <c r="M16" s="134">
        <f t="shared" si="3"/>
        <v>-20.756049276567751</v>
      </c>
      <c r="N16" s="134">
        <f t="shared" si="3"/>
        <v>-3.2621221878516735</v>
      </c>
      <c r="O16" s="134">
        <f t="shared" si="3"/>
        <v>14.065110348224607</v>
      </c>
      <c r="P16" s="134">
        <f t="shared" si="3"/>
        <v>31.222314440607988</v>
      </c>
      <c r="Q16" s="134">
        <f t="shared" si="3"/>
        <v>80.573718091662954</v>
      </c>
      <c r="R16" s="134">
        <f t="shared" si="3"/>
        <v>129.74822414990012</v>
      </c>
      <c r="S16" s="134">
        <f t="shared" si="3"/>
        <v>178.74229466346287</v>
      </c>
      <c r="T16" s="134">
        <f t="shared" si="3"/>
        <v>227.55232092145775</v>
      </c>
      <c r="U16" s="134">
        <f t="shared" si="3"/>
        <v>276.17462203877346</v>
      </c>
      <c r="V16" s="134">
        <f t="shared" si="3"/>
        <v>316.98902363570107</v>
      </c>
      <c r="W16" s="134">
        <f t="shared" si="3"/>
        <v>357.60811599626629</v>
      </c>
      <c r="X16" s="134">
        <f t="shared" si="3"/>
        <v>398.02799293574117</v>
      </c>
      <c r="Y16" s="134">
        <f t="shared" si="3"/>
        <v>438.2446701457045</v>
      </c>
      <c r="Z16" s="134">
        <f t="shared" si="3"/>
        <v>478.25408363156635</v>
      </c>
      <c r="AA16" s="134">
        <f t="shared" si="3"/>
        <v>0</v>
      </c>
      <c r="AB16" s="134">
        <f t="shared" si="3"/>
        <v>0</v>
      </c>
      <c r="AC16" s="134">
        <f t="shared" si="3"/>
        <v>0</v>
      </c>
      <c r="AD16" s="134">
        <f t="shared" si="3"/>
        <v>0</v>
      </c>
      <c r="AE16" s="134">
        <f t="shared" si="3"/>
        <v>0</v>
      </c>
    </row>
    <row r="18" spans="2:31" x14ac:dyDescent="0.3">
      <c r="C18" s="135" t="s">
        <v>303</v>
      </c>
      <c r="G18" s="131">
        <f>-'Dep-Tax-WC'!J55</f>
        <v>-591.11722188394128</v>
      </c>
      <c r="H18" s="131">
        <f>-'Dep-Tax-WC'!K55</f>
        <v>0</v>
      </c>
      <c r="I18" s="131">
        <f>-'Dep-Tax-WC'!L55</f>
        <v>0</v>
      </c>
      <c r="J18" s="131">
        <f>-'Dep-Tax-WC'!M55</f>
        <v>0</v>
      </c>
      <c r="K18" s="131">
        <f>-'Dep-Tax-WC'!N55</f>
        <v>0</v>
      </c>
      <c r="L18" s="131">
        <f>-'Dep-Tax-WC'!O55</f>
        <v>0</v>
      </c>
      <c r="M18" s="131">
        <f>-'Dep-Tax-WC'!P55</f>
        <v>0</v>
      </c>
      <c r="N18" s="131">
        <f>-'Dep-Tax-WC'!Q55</f>
        <v>0</v>
      </c>
      <c r="O18" s="131">
        <f>-'Dep-Tax-WC'!R55</f>
        <v>0</v>
      </c>
      <c r="P18" s="131">
        <f>-'Dep-Tax-WC'!S55</f>
        <v>0</v>
      </c>
      <c r="Q18" s="131">
        <f>-'Dep-Tax-WC'!T55</f>
        <v>0</v>
      </c>
      <c r="R18" s="131">
        <f>-'Dep-Tax-WC'!U55</f>
        <v>0</v>
      </c>
      <c r="S18" s="131">
        <f>-'Dep-Tax-WC'!V55</f>
        <v>-20.753419629125737</v>
      </c>
      <c r="T18" s="131">
        <f>-'Dep-Tax-WC'!W55</f>
        <v>-66.559053869526394</v>
      </c>
      <c r="U18" s="131">
        <f>-'Dep-Tax-WC'!X55</f>
        <v>-80.78107694634123</v>
      </c>
      <c r="V18" s="131">
        <f>-'Dep-Tax-WC'!Y55</f>
        <v>-92.719289413442553</v>
      </c>
      <c r="W18" s="131">
        <f>-'Dep-Tax-WC'!Z55</f>
        <v>-104.60037392890789</v>
      </c>
      <c r="X18" s="131">
        <f>-'Dep-Tax-WC'!AA55</f>
        <v>-116.42318793370428</v>
      </c>
      <c r="Y18" s="131">
        <f>-'Dep-Tax-WC'!AB55</f>
        <v>-128.18656601761856</v>
      </c>
      <c r="Z18" s="131">
        <f>-'Dep-Tax-WC'!AC55</f>
        <v>-139.88931946223315</v>
      </c>
      <c r="AA18" s="131">
        <f>-'Dep-Tax-WC'!AD55</f>
        <v>0</v>
      </c>
      <c r="AB18" s="131">
        <f>-'Dep-Tax-WC'!AE55</f>
        <v>0</v>
      </c>
      <c r="AC18" s="131">
        <f>-'Dep-Tax-WC'!AF55</f>
        <v>0</v>
      </c>
      <c r="AD18" s="131">
        <f>-'Dep-Tax-WC'!AG55</f>
        <v>0</v>
      </c>
      <c r="AE18" s="131">
        <f>-'Dep-Tax-WC'!AH55</f>
        <v>0</v>
      </c>
    </row>
    <row r="19" spans="2:31" x14ac:dyDescent="0.3">
      <c r="C19" s="133" t="s">
        <v>304</v>
      </c>
      <c r="G19" s="134">
        <f t="shared" ref="G19:AE19" si="4">G16+G18</f>
        <v>1429.7963572064564</v>
      </c>
      <c r="H19" s="134">
        <f t="shared" si="4"/>
        <v>-11.896165336063859</v>
      </c>
      <c r="I19" s="134">
        <f t="shared" si="4"/>
        <v>-133.34451877682727</v>
      </c>
      <c r="J19" s="134">
        <f t="shared" si="4"/>
        <v>-99.496564621346749</v>
      </c>
      <c r="K19" s="134">
        <f t="shared" si="4"/>
        <v>-56.230977118000169</v>
      </c>
      <c r="L19" s="134">
        <f t="shared" si="4"/>
        <v>-38.413402397284017</v>
      </c>
      <c r="M19" s="134">
        <f t="shared" si="4"/>
        <v>-20.756049276567751</v>
      </c>
      <c r="N19" s="134">
        <f t="shared" si="4"/>
        <v>-3.2621221878516735</v>
      </c>
      <c r="O19" s="134">
        <f t="shared" si="4"/>
        <v>14.065110348224607</v>
      </c>
      <c r="P19" s="134">
        <f t="shared" si="4"/>
        <v>31.222314440607988</v>
      </c>
      <c r="Q19" s="134">
        <f t="shared" si="4"/>
        <v>80.573718091662954</v>
      </c>
      <c r="R19" s="134">
        <f t="shared" si="4"/>
        <v>129.74822414990012</v>
      </c>
      <c r="S19" s="134">
        <f t="shared" si="4"/>
        <v>157.98887503433713</v>
      </c>
      <c r="T19" s="134">
        <f t="shared" si="4"/>
        <v>160.99326705193135</v>
      </c>
      <c r="U19" s="134">
        <f t="shared" si="4"/>
        <v>195.39354509243225</v>
      </c>
      <c r="V19" s="134">
        <f t="shared" si="4"/>
        <v>224.26973422225853</v>
      </c>
      <c r="W19" s="134">
        <f t="shared" si="4"/>
        <v>253.00774206735841</v>
      </c>
      <c r="X19" s="134">
        <f t="shared" si="4"/>
        <v>281.60480500203687</v>
      </c>
      <c r="Y19" s="134">
        <f t="shared" si="4"/>
        <v>310.05810412808592</v>
      </c>
      <c r="Z19" s="134">
        <f t="shared" si="4"/>
        <v>338.36476416933317</v>
      </c>
      <c r="AA19" s="134">
        <f t="shared" si="4"/>
        <v>0</v>
      </c>
      <c r="AB19" s="134">
        <f t="shared" si="4"/>
        <v>0</v>
      </c>
      <c r="AC19" s="134">
        <f t="shared" si="4"/>
        <v>0</v>
      </c>
      <c r="AD19" s="134">
        <f t="shared" si="4"/>
        <v>0</v>
      </c>
      <c r="AE19" s="134">
        <f t="shared" si="4"/>
        <v>0</v>
      </c>
    </row>
    <row r="21" spans="2:31" x14ac:dyDescent="0.3">
      <c r="C21" s="133" t="s">
        <v>305</v>
      </c>
    </row>
    <row r="23" spans="2:31" x14ac:dyDescent="0.3">
      <c r="C23" t="s">
        <v>306</v>
      </c>
      <c r="G23" s="136">
        <v>0</v>
      </c>
      <c r="H23" s="41">
        <f t="shared" ref="H23:AE23" si="5">G26</f>
        <v>-705.90134804274157</v>
      </c>
      <c r="I23" s="41">
        <f t="shared" si="5"/>
        <v>-1469.7241010093001</v>
      </c>
      <c r="J23" s="41">
        <f t="shared" si="5"/>
        <v>-2076.4486574564862</v>
      </c>
      <c r="K23" s="41">
        <f t="shared" si="5"/>
        <v>-2670.4091338272688</v>
      </c>
      <c r="L23" s="41">
        <f t="shared" si="5"/>
        <v>-3263.5955581420621</v>
      </c>
      <c r="M23" s="41">
        <f t="shared" si="5"/>
        <v>-3858.8735999458386</v>
      </c>
      <c r="N23" s="41">
        <f t="shared" si="5"/>
        <v>-4454.1648106482453</v>
      </c>
      <c r="O23" s="41">
        <f t="shared" si="5"/>
        <v>-5049.4694536272546</v>
      </c>
      <c r="P23" s="41">
        <f t="shared" si="5"/>
        <v>-5644.7877975283991</v>
      </c>
      <c r="Q23" s="41">
        <f t="shared" si="5"/>
        <v>-6240.1201163701207</v>
      </c>
      <c r="R23" s="41">
        <f t="shared" si="5"/>
        <v>-6832.8063366179795</v>
      </c>
      <c r="S23" s="41">
        <f t="shared" si="5"/>
        <v>-7425.5070963940152</v>
      </c>
      <c r="T23" s="41">
        <f t="shared" si="5"/>
        <v>-8038.976106117917</v>
      </c>
      <c r="U23" s="41">
        <f t="shared" si="5"/>
        <v>-8698.265877007334</v>
      </c>
      <c r="V23" s="41">
        <f t="shared" si="5"/>
        <v>-9371.7931004371821</v>
      </c>
      <c r="W23" s="41">
        <f t="shared" si="5"/>
        <v>-10057.900281500193</v>
      </c>
      <c r="X23" s="41">
        <f t="shared" si="5"/>
        <v>-10589.824267092772</v>
      </c>
      <c r="Y23" s="41">
        <f t="shared" si="5"/>
        <v>-11008.697404176515</v>
      </c>
      <c r="Z23" s="41">
        <f t="shared" si="5"/>
        <v>-11427.587242607888</v>
      </c>
      <c r="AA23" s="41">
        <f t="shared" si="5"/>
        <v>-11846.494116413844</v>
      </c>
      <c r="AB23" s="41">
        <f t="shared" si="5"/>
        <v>-11846.494116413844</v>
      </c>
      <c r="AC23" s="41">
        <f t="shared" si="5"/>
        <v>-11846.494116413844</v>
      </c>
      <c r="AD23" s="41">
        <f t="shared" si="5"/>
        <v>-11846.494116413844</v>
      </c>
      <c r="AE23" s="41">
        <f t="shared" si="5"/>
        <v>-11846.494116413844</v>
      </c>
    </row>
    <row r="24" spans="2:31" x14ac:dyDescent="0.3">
      <c r="C24" t="s">
        <v>307</v>
      </c>
      <c r="G24" s="41">
        <f t="shared" ref="G24:AE24" si="6">G19</f>
        <v>1429.7963572064564</v>
      </c>
      <c r="H24" s="41">
        <f t="shared" si="6"/>
        <v>-11.896165336063859</v>
      </c>
      <c r="I24" s="41">
        <f t="shared" si="6"/>
        <v>-133.34451877682727</v>
      </c>
      <c r="J24" s="41">
        <f t="shared" si="6"/>
        <v>-99.496564621346749</v>
      </c>
      <c r="K24" s="41">
        <f t="shared" si="6"/>
        <v>-56.230977118000169</v>
      </c>
      <c r="L24" s="41">
        <f t="shared" si="6"/>
        <v>-38.413402397284017</v>
      </c>
      <c r="M24" s="41">
        <f t="shared" si="6"/>
        <v>-20.756049276567751</v>
      </c>
      <c r="N24" s="41">
        <f t="shared" si="6"/>
        <v>-3.2621221878516735</v>
      </c>
      <c r="O24" s="41">
        <f t="shared" si="6"/>
        <v>14.065110348224607</v>
      </c>
      <c r="P24" s="41">
        <f t="shared" si="6"/>
        <v>31.222314440607988</v>
      </c>
      <c r="Q24" s="41">
        <f t="shared" si="6"/>
        <v>80.573718091662954</v>
      </c>
      <c r="R24" s="41">
        <f t="shared" si="6"/>
        <v>129.74822414990012</v>
      </c>
      <c r="S24" s="41">
        <f t="shared" si="6"/>
        <v>157.98887503433713</v>
      </c>
      <c r="T24" s="41">
        <f t="shared" si="6"/>
        <v>160.99326705193135</v>
      </c>
      <c r="U24" s="41">
        <f t="shared" si="6"/>
        <v>195.39354509243225</v>
      </c>
      <c r="V24" s="41">
        <f t="shared" si="6"/>
        <v>224.26973422225853</v>
      </c>
      <c r="W24" s="41">
        <f t="shared" si="6"/>
        <v>253.00774206735841</v>
      </c>
      <c r="X24" s="41">
        <f t="shared" si="6"/>
        <v>281.60480500203687</v>
      </c>
      <c r="Y24" s="41">
        <f t="shared" si="6"/>
        <v>310.05810412808592</v>
      </c>
      <c r="Z24" s="41">
        <f t="shared" si="6"/>
        <v>338.36476416933317</v>
      </c>
      <c r="AA24" s="41">
        <f t="shared" si="6"/>
        <v>0</v>
      </c>
      <c r="AB24" s="41">
        <f t="shared" si="6"/>
        <v>0</v>
      </c>
      <c r="AC24" s="41">
        <f t="shared" si="6"/>
        <v>0</v>
      </c>
      <c r="AD24" s="41">
        <f t="shared" si="6"/>
        <v>0</v>
      </c>
      <c r="AE24" s="41">
        <f t="shared" si="6"/>
        <v>0</v>
      </c>
    </row>
    <row r="25" spans="2:31" x14ac:dyDescent="0.3">
      <c r="C25" t="s">
        <v>308</v>
      </c>
      <c r="G25" s="98">
        <f>-IRR!H$39</f>
        <v>-2135.697705249198</v>
      </c>
      <c r="H25" s="98">
        <f>-IRR!I$39</f>
        <v>-751.92658763049462</v>
      </c>
      <c r="I25" s="98">
        <f>-IRR!J$39</f>
        <v>-473.38003767035883</v>
      </c>
      <c r="J25" s="98">
        <f>-IRR!K$39</f>
        <v>-494.46391174943574</v>
      </c>
      <c r="K25" s="98">
        <f>-IRR!L$39</f>
        <v>-536.95544719679333</v>
      </c>
      <c r="L25" s="98">
        <f>-IRR!M$39</f>
        <v>-556.86463940649276</v>
      </c>
      <c r="M25" s="98">
        <f>-IRR!N$39</f>
        <v>-574.53516142583919</v>
      </c>
      <c r="N25" s="98">
        <f>-IRR!O$39</f>
        <v>-592.04252079115804</v>
      </c>
      <c r="O25" s="98">
        <f>-IRR!P$39</f>
        <v>-609.38345424936915</v>
      </c>
      <c r="P25" s="98">
        <f>-IRR!Q$39</f>
        <v>-626.55463328232997</v>
      </c>
      <c r="Q25" s="98">
        <f>-IRR!R$39</f>
        <v>-673.25993833952157</v>
      </c>
      <c r="R25" s="98">
        <f>-IRR!S$39</f>
        <v>-722.44898392593552</v>
      </c>
      <c r="S25" s="98">
        <f>-IRR!T$39</f>
        <v>-771.45788475823861</v>
      </c>
      <c r="T25" s="98">
        <f>-IRR!U$39</f>
        <v>-820.28303794134865</v>
      </c>
      <c r="U25" s="98">
        <f>-IRR!V$39</f>
        <v>-868.92076852228183</v>
      </c>
      <c r="V25" s="98">
        <f>-IRR!W$39</f>
        <v>-910.37691528526875</v>
      </c>
      <c r="W25" s="98">
        <f>-IRR!X$39</f>
        <v>-784.93172765993745</v>
      </c>
      <c r="X25" s="98">
        <f>-IRR!Y$39</f>
        <v>-700.47794208577875</v>
      </c>
      <c r="Y25" s="98">
        <f>-IRR!Z$39</f>
        <v>-728.94794255945885</v>
      </c>
      <c r="Z25" s="98">
        <f>-IRR!AA$39</f>
        <v>-757.27163797528976</v>
      </c>
      <c r="AA25" s="98">
        <f>-IRR!AB$39</f>
        <v>0</v>
      </c>
      <c r="AB25" s="98">
        <f>-IRR!AC$39</f>
        <v>0</v>
      </c>
      <c r="AC25" s="98">
        <f>-IRR!AD$39</f>
        <v>0</v>
      </c>
      <c r="AD25" s="98">
        <f>-IRR!AE$39</f>
        <v>0</v>
      </c>
      <c r="AE25" s="98">
        <f>-IRR!AF$39</f>
        <v>0</v>
      </c>
    </row>
    <row r="26" spans="2:31" x14ac:dyDescent="0.3">
      <c r="C26" t="s">
        <v>309</v>
      </c>
      <c r="G26" s="41">
        <f t="shared" ref="G26:AE26" si="7">SUM(G23:G25)</f>
        <v>-705.90134804274157</v>
      </c>
      <c r="H26" s="41">
        <f t="shared" si="7"/>
        <v>-1469.7241010093001</v>
      </c>
      <c r="I26" s="41">
        <f t="shared" si="7"/>
        <v>-2076.4486574564862</v>
      </c>
      <c r="J26" s="41">
        <f t="shared" si="7"/>
        <v>-2670.4091338272688</v>
      </c>
      <c r="K26" s="41">
        <f t="shared" si="7"/>
        <v>-3263.5955581420621</v>
      </c>
      <c r="L26" s="41">
        <f t="shared" si="7"/>
        <v>-3858.8735999458386</v>
      </c>
      <c r="M26" s="41">
        <f t="shared" si="7"/>
        <v>-4454.1648106482453</v>
      </c>
      <c r="N26" s="41">
        <f t="shared" si="7"/>
        <v>-5049.4694536272546</v>
      </c>
      <c r="O26" s="41">
        <f t="shared" si="7"/>
        <v>-5644.7877975283991</v>
      </c>
      <c r="P26" s="41">
        <f t="shared" si="7"/>
        <v>-6240.1201163701207</v>
      </c>
      <c r="Q26" s="41">
        <f t="shared" si="7"/>
        <v>-6832.8063366179795</v>
      </c>
      <c r="R26" s="41">
        <f t="shared" si="7"/>
        <v>-7425.5070963940152</v>
      </c>
      <c r="S26" s="41">
        <f t="shared" si="7"/>
        <v>-8038.976106117917</v>
      </c>
      <c r="T26" s="41">
        <f t="shared" si="7"/>
        <v>-8698.265877007334</v>
      </c>
      <c r="U26" s="41">
        <f t="shared" si="7"/>
        <v>-9371.7931004371821</v>
      </c>
      <c r="V26" s="41">
        <f t="shared" si="7"/>
        <v>-10057.900281500193</v>
      </c>
      <c r="W26" s="41">
        <f t="shared" si="7"/>
        <v>-10589.824267092772</v>
      </c>
      <c r="X26" s="41">
        <f t="shared" si="7"/>
        <v>-11008.697404176515</v>
      </c>
      <c r="Y26" s="41">
        <f t="shared" si="7"/>
        <v>-11427.587242607888</v>
      </c>
      <c r="Z26" s="41">
        <f t="shared" si="7"/>
        <v>-11846.494116413844</v>
      </c>
      <c r="AA26" s="41">
        <f t="shared" si="7"/>
        <v>-11846.494116413844</v>
      </c>
      <c r="AB26" s="41">
        <f t="shared" si="7"/>
        <v>-11846.494116413844</v>
      </c>
      <c r="AC26" s="41">
        <f t="shared" si="7"/>
        <v>-11846.494116413844</v>
      </c>
      <c r="AD26" s="41">
        <f t="shared" si="7"/>
        <v>-11846.494116413844</v>
      </c>
      <c r="AE26" s="41">
        <f t="shared" si="7"/>
        <v>-11846.494116413844</v>
      </c>
    </row>
    <row r="28" spans="2:31" ht="15" thickBot="1" x14ac:dyDescent="0.35">
      <c r="B28" s="130" t="s">
        <v>310</v>
      </c>
      <c r="C28" s="124"/>
      <c r="D28" s="124"/>
      <c r="E28" s="124"/>
      <c r="F28" s="124"/>
      <c r="G28" s="124"/>
      <c r="H28" s="124"/>
      <c r="I28" s="124"/>
      <c r="J28" s="124"/>
      <c r="K28" s="124"/>
      <c r="L28" s="124"/>
      <c r="M28" s="124"/>
      <c r="N28" s="124"/>
      <c r="O28" s="124"/>
      <c r="P28" s="124"/>
      <c r="Q28" s="124"/>
      <c r="R28" s="124"/>
      <c r="S28" s="124"/>
      <c r="T28" s="124"/>
      <c r="U28" s="124"/>
      <c r="V28" s="124"/>
      <c r="W28" s="124"/>
      <c r="X28" s="124"/>
      <c r="Y28" s="124"/>
      <c r="Z28" s="124"/>
      <c r="AA28" s="124"/>
      <c r="AB28" s="124"/>
      <c r="AC28" s="124"/>
      <c r="AD28" s="124"/>
      <c r="AE28" s="124"/>
    </row>
    <row r="29" spans="2:31" x14ac:dyDescent="0.3">
      <c r="F29" s="123">
        <f t="shared" ref="F29:AE29" si="8">F7</f>
        <v>0</v>
      </c>
      <c r="G29" s="123">
        <f t="shared" si="8"/>
        <v>1</v>
      </c>
      <c r="H29" s="123">
        <f t="shared" si="8"/>
        <v>2</v>
      </c>
      <c r="I29" s="123">
        <f t="shared" si="8"/>
        <v>3</v>
      </c>
      <c r="J29" s="123">
        <f t="shared" si="8"/>
        <v>4</v>
      </c>
      <c r="K29" s="123">
        <f t="shared" si="8"/>
        <v>5</v>
      </c>
      <c r="L29" s="123">
        <f t="shared" si="8"/>
        <v>6</v>
      </c>
      <c r="M29" s="123">
        <f t="shared" si="8"/>
        <v>7</v>
      </c>
      <c r="N29" s="123">
        <f t="shared" si="8"/>
        <v>8</v>
      </c>
      <c r="O29" s="123">
        <f t="shared" si="8"/>
        <v>9</v>
      </c>
      <c r="P29" s="123">
        <f t="shared" si="8"/>
        <v>10</v>
      </c>
      <c r="Q29" s="123">
        <f t="shared" si="8"/>
        <v>11</v>
      </c>
      <c r="R29" s="123">
        <f t="shared" si="8"/>
        <v>12</v>
      </c>
      <c r="S29" s="123">
        <f t="shared" si="8"/>
        <v>13</v>
      </c>
      <c r="T29" s="123">
        <f t="shared" si="8"/>
        <v>14</v>
      </c>
      <c r="U29" s="123">
        <f t="shared" si="8"/>
        <v>15</v>
      </c>
      <c r="V29" s="123">
        <f t="shared" si="8"/>
        <v>16</v>
      </c>
      <c r="W29" s="123">
        <f t="shared" si="8"/>
        <v>17</v>
      </c>
      <c r="X29" s="123">
        <f t="shared" si="8"/>
        <v>18</v>
      </c>
      <c r="Y29" s="123">
        <f t="shared" si="8"/>
        <v>19</v>
      </c>
      <c r="Z29" s="123">
        <f t="shared" si="8"/>
        <v>20</v>
      </c>
      <c r="AA29" s="123">
        <f t="shared" si="8"/>
        <v>21</v>
      </c>
      <c r="AB29" s="123">
        <f t="shared" si="8"/>
        <v>22</v>
      </c>
      <c r="AC29" s="123">
        <f t="shared" si="8"/>
        <v>23</v>
      </c>
      <c r="AD29" s="123">
        <f t="shared" si="8"/>
        <v>24</v>
      </c>
      <c r="AE29" s="123">
        <f t="shared" si="8"/>
        <v>25</v>
      </c>
    </row>
    <row r="30" spans="2:31" x14ac:dyDescent="0.3">
      <c r="C30" s="133"/>
    </row>
    <row r="31" spans="2:31" x14ac:dyDescent="0.3">
      <c r="C31" s="133" t="s">
        <v>311</v>
      </c>
    </row>
    <row r="32" spans="2:31" x14ac:dyDescent="0.3">
      <c r="D32" t="s">
        <v>46</v>
      </c>
      <c r="E32" s="3">
        <f>NPV(12.5%,F32:AE32)</f>
        <v>5623.0464763346154</v>
      </c>
      <c r="F32">
        <v>0</v>
      </c>
      <c r="G32" s="97">
        <f t="shared" ref="G32:AE32" si="9">G$10</f>
        <v>2617.6560790903977</v>
      </c>
      <c r="H32" s="97">
        <f t="shared" si="9"/>
        <v>584.8463346639362</v>
      </c>
      <c r="I32" s="97">
        <f t="shared" si="9"/>
        <v>463.39798122317279</v>
      </c>
      <c r="J32" s="97">
        <f t="shared" si="9"/>
        <v>497.24593537865331</v>
      </c>
      <c r="K32" s="97">
        <f t="shared" si="9"/>
        <v>540.51152288199989</v>
      </c>
      <c r="L32" s="97">
        <f t="shared" si="9"/>
        <v>558.32909760271605</v>
      </c>
      <c r="M32" s="97">
        <f t="shared" si="9"/>
        <v>575.98645072343231</v>
      </c>
      <c r="N32" s="97">
        <f t="shared" si="9"/>
        <v>593.48037781214839</v>
      </c>
      <c r="O32" s="97">
        <f t="shared" si="9"/>
        <v>610.80761034822467</v>
      </c>
      <c r="P32" s="97">
        <f t="shared" si="9"/>
        <v>627.96481444060805</v>
      </c>
      <c r="Q32" s="97">
        <f t="shared" si="9"/>
        <v>677.31621809166302</v>
      </c>
      <c r="R32" s="97">
        <f t="shared" si="9"/>
        <v>726.49072414990019</v>
      </c>
      <c r="S32" s="97">
        <f t="shared" si="9"/>
        <v>775.48479466346294</v>
      </c>
      <c r="T32" s="97">
        <f t="shared" si="9"/>
        <v>824.29482092145781</v>
      </c>
      <c r="U32" s="97">
        <f t="shared" si="9"/>
        <v>872.91712203877353</v>
      </c>
      <c r="V32" s="97">
        <f t="shared" si="9"/>
        <v>913.73152363570114</v>
      </c>
      <c r="W32" s="97">
        <f t="shared" si="9"/>
        <v>954.35061599626636</v>
      </c>
      <c r="X32" s="97">
        <f t="shared" si="9"/>
        <v>994.77049293574123</v>
      </c>
      <c r="Y32" s="97">
        <f t="shared" si="9"/>
        <v>1034.9871701457046</v>
      </c>
      <c r="Z32" s="97">
        <f t="shared" si="9"/>
        <v>1074.9965836315664</v>
      </c>
      <c r="AA32" s="97">
        <f t="shared" si="9"/>
        <v>0</v>
      </c>
      <c r="AB32" s="97">
        <f t="shared" si="9"/>
        <v>0</v>
      </c>
      <c r="AC32" s="97">
        <f t="shared" si="9"/>
        <v>0</v>
      </c>
      <c r="AD32" s="97">
        <f t="shared" si="9"/>
        <v>0</v>
      </c>
      <c r="AE32" s="97">
        <f t="shared" si="9"/>
        <v>0</v>
      </c>
    </row>
    <row r="33" spans="1:31" x14ac:dyDescent="0.3">
      <c r="D33" t="s">
        <v>312</v>
      </c>
      <c r="E33" s="3">
        <f t="shared" ref="E33:E36" si="10">NPV(12.5%,F33:AE33)</f>
        <v>-317.00041421908753</v>
      </c>
      <c r="F33">
        <v>0</v>
      </c>
      <c r="G33" s="97">
        <f>-'Dep-Tax-WC'!J54</f>
        <v>-266.80855912144131</v>
      </c>
      <c r="H33" s="97">
        <f>-'Dep-Tax-WC'!K54</f>
        <v>0</v>
      </c>
      <c r="I33" s="97">
        <f>-'Dep-Tax-WC'!L54</f>
        <v>0</v>
      </c>
      <c r="J33" s="97">
        <f>-'Dep-Tax-WC'!M54</f>
        <v>0</v>
      </c>
      <c r="K33" s="97">
        <f>-'Dep-Tax-WC'!N54</f>
        <v>0</v>
      </c>
      <c r="L33" s="97">
        <f>-'Dep-Tax-WC'!O54</f>
        <v>0</v>
      </c>
      <c r="M33" s="97">
        <f>-'Dep-Tax-WC'!P54</f>
        <v>0</v>
      </c>
      <c r="N33" s="97">
        <f>-'Dep-Tax-WC'!Q54</f>
        <v>0</v>
      </c>
      <c r="O33" s="97">
        <f>-'Dep-Tax-WC'!R54</f>
        <v>0</v>
      </c>
      <c r="P33" s="97">
        <f>-'Dep-Tax-WC'!S54</f>
        <v>0</v>
      </c>
      <c r="Q33" s="97">
        <f>-'Dep-Tax-WC'!T54</f>
        <v>0</v>
      </c>
      <c r="R33" s="97">
        <f>-'Dep-Tax-WC'!U54</f>
        <v>0</v>
      </c>
      <c r="S33" s="97">
        <f>-'Dep-Tax-WC'!V54</f>
        <v>0</v>
      </c>
      <c r="T33" s="97">
        <f>-'Dep-Tax-WC'!W54</f>
        <v>0</v>
      </c>
      <c r="U33" s="97">
        <f>-'Dep-Tax-WC'!X54</f>
        <v>0</v>
      </c>
      <c r="V33" s="97">
        <f>-'Dep-Tax-WC'!Y54</f>
        <v>0</v>
      </c>
      <c r="W33" s="97">
        <f>-'Dep-Tax-WC'!Z54</f>
        <v>-166.08033279984403</v>
      </c>
      <c r="X33" s="97">
        <f>-'Dep-Tax-WC'!AA54</f>
        <v>-290.97036918370429</v>
      </c>
      <c r="Y33" s="97">
        <f>-'Dep-Tax-WC'!AB54</f>
        <v>-302.73374726761858</v>
      </c>
      <c r="Z33" s="97">
        <f>-'Dep-Tax-WC'!AC54</f>
        <v>-314.43650071223317</v>
      </c>
      <c r="AA33" s="97">
        <f>-'Dep-Tax-WC'!AD54</f>
        <v>0</v>
      </c>
      <c r="AB33" s="97">
        <f>-'Dep-Tax-WC'!AE54</f>
        <v>0</v>
      </c>
      <c r="AC33" s="97">
        <f>-'Dep-Tax-WC'!AF54</f>
        <v>0</v>
      </c>
      <c r="AD33" s="97">
        <f>-'Dep-Tax-WC'!AG54</f>
        <v>0</v>
      </c>
      <c r="AE33" s="97">
        <f>-'Dep-Tax-WC'!AH54</f>
        <v>0</v>
      </c>
    </row>
    <row r="34" spans="1:31" x14ac:dyDescent="0.3">
      <c r="D34" t="s">
        <v>313</v>
      </c>
      <c r="E34" s="3">
        <f t="shared" si="10"/>
        <v>0</v>
      </c>
      <c r="F34">
        <v>0</v>
      </c>
      <c r="G34" s="137">
        <v>0</v>
      </c>
      <c r="H34" s="137">
        <v>0</v>
      </c>
      <c r="I34" s="137">
        <v>0</v>
      </c>
      <c r="J34" s="137">
        <v>0</v>
      </c>
      <c r="K34" s="137">
        <v>0</v>
      </c>
      <c r="L34" s="137">
        <v>0</v>
      </c>
      <c r="M34" s="137">
        <v>0</v>
      </c>
      <c r="N34" s="137">
        <v>0</v>
      </c>
      <c r="O34" s="137">
        <v>0</v>
      </c>
      <c r="P34" s="137">
        <v>0</v>
      </c>
      <c r="Q34" s="137">
        <v>0</v>
      </c>
      <c r="R34" s="137">
        <v>0</v>
      </c>
      <c r="S34" s="137">
        <v>0</v>
      </c>
      <c r="T34" s="137">
        <v>0</v>
      </c>
      <c r="U34" s="137">
        <v>0</v>
      </c>
      <c r="V34" s="137">
        <v>0</v>
      </c>
      <c r="W34" s="137">
        <v>0</v>
      </c>
      <c r="X34" s="137">
        <v>0</v>
      </c>
      <c r="Y34" s="137">
        <v>0</v>
      </c>
      <c r="Z34" s="137">
        <v>0</v>
      </c>
      <c r="AA34" s="137">
        <v>0</v>
      </c>
      <c r="AB34" s="137">
        <v>0</v>
      </c>
      <c r="AC34" s="137">
        <v>0</v>
      </c>
      <c r="AD34" s="137">
        <v>0</v>
      </c>
      <c r="AE34" s="137">
        <v>0</v>
      </c>
    </row>
    <row r="35" spans="1:31" x14ac:dyDescent="0.3">
      <c r="D35" t="s">
        <v>314</v>
      </c>
      <c r="E35" s="3">
        <f t="shared" si="10"/>
        <v>-51.352022614927996</v>
      </c>
      <c r="F35">
        <v>0</v>
      </c>
      <c r="G35" s="138">
        <f>'Dep-Tax-WC'!J80</f>
        <v>-215.14981471975869</v>
      </c>
      <c r="H35" s="138">
        <f>'Dep-Tax-WC'!K80</f>
        <v>167.08025296655848</v>
      </c>
      <c r="I35" s="138">
        <f>'Dep-Tax-WC'!L80</f>
        <v>9.9820564471860251</v>
      </c>
      <c r="J35" s="138">
        <f>'Dep-Tax-WC'!M80</f>
        <v>-2.78202362921758</v>
      </c>
      <c r="K35" s="138">
        <f>'Dep-Tax-WC'!N80</f>
        <v>-3.556075685206558</v>
      </c>
      <c r="L35" s="138">
        <f>'Dep-Tax-WC'!O80</f>
        <v>-1.4644581962232479</v>
      </c>
      <c r="M35" s="138">
        <f>'Dep-Tax-WC'!P80</f>
        <v>-1.4512892975931138</v>
      </c>
      <c r="N35" s="138">
        <f>'Dep-Tax-WC'!Q80</f>
        <v>-1.4378570209903714</v>
      </c>
      <c r="O35" s="138">
        <f>'Dep-Tax-WC'!R80</f>
        <v>-1.4241560988555761</v>
      </c>
      <c r="P35" s="138">
        <f>'Dep-Tax-WC'!S80</f>
        <v>-1.4101811582780996</v>
      </c>
      <c r="Q35" s="138">
        <f>'Dep-Tax-WC'!T80</f>
        <v>-4.0562797521414922</v>
      </c>
      <c r="R35" s="138">
        <f>'Dep-Tax-WC'!U80</f>
        <v>-4.0417402239647018</v>
      </c>
      <c r="S35" s="138">
        <f>'Dep-Tax-WC'!V80</f>
        <v>-4.0269099052243433</v>
      </c>
      <c r="T35" s="138">
        <f>'Dep-Tax-WC'!W80</f>
        <v>-4.0117829801091531</v>
      </c>
      <c r="U35" s="138">
        <f>'Dep-Tax-WC'!X80</f>
        <v>-3.996353516491709</v>
      </c>
      <c r="V35" s="138">
        <f>'Dep-Tax-WC'!Y80</f>
        <v>-3.3546083504324002</v>
      </c>
      <c r="W35" s="138">
        <f>'Dep-Tax-WC'!Z80</f>
        <v>-3.3385555364848187</v>
      </c>
      <c r="X35" s="138">
        <f>'Dep-Tax-WC'!AA80</f>
        <v>-3.32218166625821</v>
      </c>
      <c r="Y35" s="138">
        <f>'Dep-Tax-WC'!AB80</f>
        <v>-3.3054803186271329</v>
      </c>
      <c r="Z35" s="138">
        <f>'Dep-Tax-WC'!AC80</f>
        <v>-3.2884449440434338</v>
      </c>
      <c r="AA35" s="138">
        <f>'Dep-Tax-WC'!AD80</f>
        <v>88.355883586156153</v>
      </c>
      <c r="AB35" s="138">
        <f>'Dep-Tax-WC'!AE80</f>
        <v>0</v>
      </c>
      <c r="AC35" s="138">
        <f>'Dep-Tax-WC'!AF80</f>
        <v>0</v>
      </c>
      <c r="AD35" s="138">
        <f>'Dep-Tax-WC'!AG80</f>
        <v>0</v>
      </c>
      <c r="AE35" s="138">
        <f>'Dep-Tax-WC'!AH80</f>
        <v>0</v>
      </c>
    </row>
    <row r="36" spans="1:31" x14ac:dyDescent="0.3">
      <c r="D36" s="133" t="s">
        <v>262</v>
      </c>
      <c r="E36" s="3">
        <f t="shared" si="10"/>
        <v>5254.6940395006022</v>
      </c>
      <c r="F36">
        <v>0</v>
      </c>
      <c r="G36" s="134">
        <f t="shared" ref="G36:AE36" si="11">SUM(G32:G35)</f>
        <v>2135.697705249198</v>
      </c>
      <c r="H36" s="134">
        <f t="shared" si="11"/>
        <v>751.92658763049462</v>
      </c>
      <c r="I36" s="134">
        <f t="shared" si="11"/>
        <v>473.38003767035883</v>
      </c>
      <c r="J36" s="134">
        <f t="shared" si="11"/>
        <v>494.46391174943574</v>
      </c>
      <c r="K36" s="134">
        <f t="shared" si="11"/>
        <v>536.95544719679333</v>
      </c>
      <c r="L36" s="134">
        <f t="shared" si="11"/>
        <v>556.86463940649276</v>
      </c>
      <c r="M36" s="134">
        <f t="shared" si="11"/>
        <v>574.53516142583919</v>
      </c>
      <c r="N36" s="134">
        <f t="shared" si="11"/>
        <v>592.04252079115804</v>
      </c>
      <c r="O36" s="134">
        <f t="shared" si="11"/>
        <v>609.38345424936915</v>
      </c>
      <c r="P36" s="134">
        <f t="shared" si="11"/>
        <v>626.55463328232997</v>
      </c>
      <c r="Q36" s="134">
        <f t="shared" si="11"/>
        <v>673.25993833952157</v>
      </c>
      <c r="R36" s="134">
        <f t="shared" si="11"/>
        <v>722.44898392593552</v>
      </c>
      <c r="S36" s="134">
        <f t="shared" si="11"/>
        <v>771.45788475823861</v>
      </c>
      <c r="T36" s="134">
        <f t="shared" si="11"/>
        <v>820.28303794134865</v>
      </c>
      <c r="U36" s="134">
        <f t="shared" si="11"/>
        <v>868.92076852228183</v>
      </c>
      <c r="V36" s="134">
        <f t="shared" si="11"/>
        <v>910.37691528526875</v>
      </c>
      <c r="W36" s="134">
        <f t="shared" si="11"/>
        <v>784.93172765993745</v>
      </c>
      <c r="X36" s="134">
        <f t="shared" si="11"/>
        <v>700.47794208577875</v>
      </c>
      <c r="Y36" s="134">
        <f t="shared" si="11"/>
        <v>728.94794255945885</v>
      </c>
      <c r="Z36" s="134">
        <f t="shared" si="11"/>
        <v>757.27163797528976</v>
      </c>
      <c r="AA36" s="134">
        <f t="shared" si="11"/>
        <v>88.355883586156153</v>
      </c>
      <c r="AB36" s="134">
        <f t="shared" si="11"/>
        <v>0</v>
      </c>
      <c r="AC36" s="134">
        <f t="shared" si="11"/>
        <v>0</v>
      </c>
      <c r="AD36" s="134">
        <f t="shared" si="11"/>
        <v>0</v>
      </c>
      <c r="AE36" s="134">
        <f t="shared" si="11"/>
        <v>0</v>
      </c>
    </row>
    <row r="37" spans="1:31" x14ac:dyDescent="0.3">
      <c r="D37" s="133"/>
      <c r="G37" s="134"/>
      <c r="H37" s="134"/>
      <c r="I37" s="134"/>
      <c r="J37" s="134"/>
      <c r="K37" s="134"/>
      <c r="L37" s="134"/>
      <c r="M37" s="134"/>
      <c r="N37" s="134"/>
      <c r="O37" s="134"/>
      <c r="P37" s="134"/>
      <c r="Q37" s="134"/>
      <c r="R37" s="134"/>
      <c r="S37" s="134"/>
      <c r="T37" s="134"/>
      <c r="U37" s="134"/>
      <c r="V37" s="134"/>
      <c r="W37" s="134"/>
      <c r="X37" s="134"/>
      <c r="Y37" s="134"/>
      <c r="Z37" s="134"/>
      <c r="AA37" s="134"/>
      <c r="AB37" s="134"/>
      <c r="AC37" s="134"/>
      <c r="AD37" s="134"/>
      <c r="AE37" s="134"/>
    </row>
    <row r="38" spans="1:31" x14ac:dyDescent="0.3">
      <c r="C38" s="2" t="s">
        <v>315</v>
      </c>
      <c r="D38" s="133"/>
      <c r="G38" s="139">
        <f>IFERROR(( (G29/'Fin Inputs'!$F$25 - FLOOR(G29/'Fin Inputs'!$F$25,1))=0 ),0) * (G$29&lt;='Fin Inputs'!$F$13)</f>
        <v>0</v>
      </c>
      <c r="H38" s="139">
        <f>IFERROR(( (H29/'Fin Inputs'!$F$25 - FLOOR(H29/'Fin Inputs'!$F$25,1))=0 ),0) * (H$29&lt;='Fin Inputs'!$F$13)</f>
        <v>0</v>
      </c>
      <c r="I38" s="139">
        <f>IFERROR(( (I29/'Fin Inputs'!$F$25 - FLOOR(I29/'Fin Inputs'!$F$25,1))=0 ),0) * (I$29&lt;='Fin Inputs'!$F$13)</f>
        <v>0</v>
      </c>
      <c r="J38" s="139">
        <f>IFERROR(( (J29/'Fin Inputs'!$F$25 - FLOOR(J29/'Fin Inputs'!$F$25,1))=0 ),0) * (J$29&lt;='Fin Inputs'!$F$13)</f>
        <v>0</v>
      </c>
      <c r="K38" s="139">
        <f>IFERROR(( (K29/'Fin Inputs'!$F$25 - FLOOR(K29/'Fin Inputs'!$F$25,1))=0 ),0) * (K$29&lt;='Fin Inputs'!$F$13)</f>
        <v>0</v>
      </c>
      <c r="L38" s="139">
        <f>IFERROR(( (L29/'Fin Inputs'!$F$25 - FLOOR(L29/'Fin Inputs'!$F$25,1))=0 ),0) * (L$29&lt;='Fin Inputs'!$F$13)</f>
        <v>0</v>
      </c>
      <c r="M38" s="139">
        <f>IFERROR(( (M29/'Fin Inputs'!$F$25 - FLOOR(M29/'Fin Inputs'!$F$25,1))=0 ),0) * (M$29&lt;='Fin Inputs'!$F$13)</f>
        <v>0</v>
      </c>
      <c r="N38" s="139">
        <f>IFERROR(( (N29/'Fin Inputs'!$F$25 - FLOOR(N29/'Fin Inputs'!$F$25,1))=0 ),0) * (N$29&lt;='Fin Inputs'!$F$13)</f>
        <v>0</v>
      </c>
      <c r="O38" s="139">
        <f>IFERROR(( (O29/'Fin Inputs'!$F$25 - FLOOR(O29/'Fin Inputs'!$F$25,1))=0 ),0) * (O$29&lt;='Fin Inputs'!$F$13)</f>
        <v>0</v>
      </c>
      <c r="P38" s="139">
        <f>IFERROR(( (P29/'Fin Inputs'!$F$25 - FLOOR(P29/'Fin Inputs'!$F$25,1))=0 ),0) * (P$29&lt;='Fin Inputs'!$F$13)</f>
        <v>0</v>
      </c>
      <c r="Q38" s="139">
        <f>IFERROR(( (Q29/'Fin Inputs'!$F$25 - FLOOR(Q29/'Fin Inputs'!$F$25,1))=0 ),0) * (Q$29&lt;='Fin Inputs'!$F$13)</f>
        <v>0</v>
      </c>
      <c r="R38" s="139">
        <f>IFERROR(( (R29/'Fin Inputs'!$F$25 - FLOOR(R29/'Fin Inputs'!$F$25,1))=0 ),0) * (R$29&lt;='Fin Inputs'!$F$13)</f>
        <v>0</v>
      </c>
      <c r="S38" s="139">
        <f>IFERROR(( (S29/'Fin Inputs'!$F$25 - FLOOR(S29/'Fin Inputs'!$F$25,1))=0 ),0) * (S$29&lt;='Fin Inputs'!$F$13)</f>
        <v>0</v>
      </c>
      <c r="T38" s="139">
        <f>IFERROR(( (T29/'Fin Inputs'!$F$25 - FLOOR(T29/'Fin Inputs'!$F$25,1))=0 ),0) * (T$29&lt;='Fin Inputs'!$F$13)</f>
        <v>0</v>
      </c>
      <c r="U38" s="139">
        <f>IFERROR(( (U29/'Fin Inputs'!$F$25 - FLOOR(U29/'Fin Inputs'!$F$25,1))=0 ),0) * (U$29&lt;='Fin Inputs'!$F$13)</f>
        <v>0</v>
      </c>
      <c r="V38" s="139">
        <f>IFERROR(( (V29/'Fin Inputs'!$F$25 - FLOOR(V29/'Fin Inputs'!$F$25,1))=0 ),0) * (V$29&lt;='Fin Inputs'!$F$13)</f>
        <v>0</v>
      </c>
      <c r="W38" s="139">
        <f>IFERROR(( (W29/'Fin Inputs'!$F$25 - FLOOR(W29/'Fin Inputs'!$F$25,1))=0 ),0) * (W$29&lt;='Fin Inputs'!$F$13)</f>
        <v>0</v>
      </c>
      <c r="X38" s="139">
        <f>IFERROR(( (X29/'Fin Inputs'!$F$25 - FLOOR(X29/'Fin Inputs'!$F$25,1))=0 ),0) * (X$29&lt;='Fin Inputs'!$F$13)</f>
        <v>0</v>
      </c>
      <c r="Y38" s="139">
        <f>IFERROR(( (Y29/'Fin Inputs'!$F$25 - FLOOR(Y29/'Fin Inputs'!$F$25,1))=0 ),0) * (Y$29&lt;='Fin Inputs'!$F$13)</f>
        <v>0</v>
      </c>
      <c r="Z38" s="139">
        <f>IFERROR(( (Z29/'Fin Inputs'!$F$25 - FLOOR(Z29/'Fin Inputs'!$F$25,1))=0 ),0) * (Z$29&lt;='Fin Inputs'!$F$13)</f>
        <v>1</v>
      </c>
      <c r="AA38" s="139">
        <f>IFERROR(( (AA29/'Fin Inputs'!$F$25 - FLOOR(AA29/'Fin Inputs'!$F$25,1))=0 ),0) * (AA$29&lt;='Fin Inputs'!$F$13)</f>
        <v>0</v>
      </c>
      <c r="AB38" s="139">
        <f>IFERROR(( (AB29/'Fin Inputs'!$F$25 - FLOOR(AB29/'Fin Inputs'!$F$25,1))=0 ),0) * (AB$29&lt;='Fin Inputs'!$F$13)</f>
        <v>0</v>
      </c>
      <c r="AC38" s="139">
        <f>IFERROR(( (AC29/'Fin Inputs'!$F$25 - FLOOR(AC29/'Fin Inputs'!$F$25,1))=0 ),0) * (AC$29&lt;='Fin Inputs'!$F$13)</f>
        <v>0</v>
      </c>
      <c r="AD38" s="139">
        <f>IFERROR(( (AD29/'Fin Inputs'!$F$25 - FLOOR(AD29/'Fin Inputs'!$F$25,1))=0 ),0) * (AD$29&lt;='Fin Inputs'!$F$13)</f>
        <v>0</v>
      </c>
      <c r="AE38" s="139">
        <f>IFERROR(( (AE29/'Fin Inputs'!$F$25 - FLOOR(AE29/'Fin Inputs'!$F$25,1))=0 ),0) * (AE$29&lt;='Fin Inputs'!$F$13)</f>
        <v>0</v>
      </c>
    </row>
    <row r="39" spans="1:31" x14ac:dyDescent="0.3">
      <c r="C39" s="2"/>
      <c r="D39" s="37" t="s">
        <v>316</v>
      </c>
      <c r="F39" s="140" t="s">
        <v>39</v>
      </c>
      <c r="G39" s="139">
        <f>G38*'Fin Inputs'!$M$51*energRating</f>
        <v>0</v>
      </c>
      <c r="H39" s="139">
        <f>H38*'Fin Inputs'!$M$51*energRating</f>
        <v>0</v>
      </c>
      <c r="I39" s="139">
        <f>I38*'Fin Inputs'!$M$51*energRating</f>
        <v>0</v>
      </c>
      <c r="J39" s="139">
        <f>J38*'Fin Inputs'!$M$51*energRating</f>
        <v>0</v>
      </c>
      <c r="K39" s="139">
        <f>K38*'Fin Inputs'!$M$51*energRating</f>
        <v>0</v>
      </c>
      <c r="L39" s="139">
        <f>L38*'Fin Inputs'!$M$51*energRating</f>
        <v>0</v>
      </c>
      <c r="M39" s="139">
        <f>M38*'Fin Inputs'!$M$51*energRating</f>
        <v>0</v>
      </c>
      <c r="N39" s="139">
        <f>N38*'Fin Inputs'!$M$51*energRating</f>
        <v>0</v>
      </c>
      <c r="O39" s="139">
        <f>O38*'Fin Inputs'!$M$51*energRating</f>
        <v>0</v>
      </c>
      <c r="P39" s="139">
        <f>P38*'Fin Inputs'!$M$51*energRating</f>
        <v>0</v>
      </c>
      <c r="Q39" s="139">
        <f>Q38*'Fin Inputs'!$M$51*energRating</f>
        <v>0</v>
      </c>
      <c r="R39" s="139">
        <f>R38*'Fin Inputs'!$M$51*energRating</f>
        <v>0</v>
      </c>
      <c r="S39" s="139">
        <f>S38*'Fin Inputs'!$M$51*energRating</f>
        <v>0</v>
      </c>
      <c r="T39" s="139">
        <f>T38*'Fin Inputs'!$M$51*energRating</f>
        <v>0</v>
      </c>
      <c r="U39" s="139">
        <f>U38*'Fin Inputs'!$M$51*energRating</f>
        <v>0</v>
      </c>
      <c r="V39" s="139">
        <f>V38*'Fin Inputs'!$M$51*energRating</f>
        <v>0</v>
      </c>
      <c r="W39" s="139">
        <f>W38*'Fin Inputs'!$M$51*energRating</f>
        <v>0</v>
      </c>
      <c r="X39" s="139">
        <f>X38*'Fin Inputs'!$M$51*energRating</f>
        <v>0</v>
      </c>
      <c r="Y39" s="139">
        <f>Y38*'Fin Inputs'!$M$51*energRating</f>
        <v>0</v>
      </c>
      <c r="Z39" s="139">
        <f>Z38*'Fin Inputs'!$M$51*energRating</f>
        <v>0</v>
      </c>
      <c r="AA39" s="139">
        <f>AA38*'Fin Inputs'!$M$51*energRating</f>
        <v>0</v>
      </c>
      <c r="AB39" s="139">
        <f>AB38*'Fin Inputs'!$M$51*energRating</f>
        <v>0</v>
      </c>
      <c r="AC39" s="139">
        <f>AC38*'Fin Inputs'!$M$51*energRating</f>
        <v>0</v>
      </c>
      <c r="AD39" s="139">
        <f>AD38*'Fin Inputs'!$M$51*energRating</f>
        <v>0</v>
      </c>
      <c r="AE39" s="139">
        <f>AE38*'Fin Inputs'!$M$51*energRating</f>
        <v>0</v>
      </c>
    </row>
    <row r="40" spans="1:31" s="134" customFormat="1" x14ac:dyDescent="0.3">
      <c r="A40"/>
      <c r="B40"/>
      <c r="C40" s="2"/>
      <c r="D40" s="133" t="s">
        <v>317</v>
      </c>
      <c r="E40" s="2"/>
      <c r="F40" s="140" t="s">
        <v>7</v>
      </c>
      <c r="G40" s="134">
        <f>-G38*('Fin Inputs'!$M$50*G39*1000)*(G$7&lt;'Fin Inputs'!$F$13)</f>
        <v>0</v>
      </c>
      <c r="H40" s="134">
        <f>-H38*('Fin Inputs'!$M$50*H39*1000)*(H$7&lt;'Fin Inputs'!$F$13)</f>
        <v>0</v>
      </c>
      <c r="I40" s="134">
        <f>-I38*('Fin Inputs'!$M$50*I39*1000)*(I$7&lt;'Fin Inputs'!$F$13)</f>
        <v>0</v>
      </c>
      <c r="J40" s="134">
        <f>-J38*('Fin Inputs'!$M$50*J39*1000)*(J$7&lt;'Fin Inputs'!$F$13)</f>
        <v>0</v>
      </c>
      <c r="K40" s="134">
        <f>-K38*('Fin Inputs'!$M$50*K39*1000)*(K$7&lt;'Fin Inputs'!$F$13)</f>
        <v>0</v>
      </c>
      <c r="L40" s="134">
        <f>-L38*('Fin Inputs'!$M$50*L39*1000)*(L$7&lt;'Fin Inputs'!$F$13)</f>
        <v>0</v>
      </c>
      <c r="M40" s="134">
        <f>-M38*('Fin Inputs'!$M$50*M39*1000)*(M$7&lt;'Fin Inputs'!$F$13)</f>
        <v>0</v>
      </c>
      <c r="N40" s="134">
        <f>-N38*('Fin Inputs'!$M$50*N39*1000)*(N$7&lt;'Fin Inputs'!$F$13)</f>
        <v>0</v>
      </c>
      <c r="O40" s="134">
        <f>-O38*('Fin Inputs'!$M$50*O39*1000)*(O$7&lt;'Fin Inputs'!$F$13)</f>
        <v>0</v>
      </c>
      <c r="P40" s="134">
        <f>-P38*('Fin Inputs'!$M$50*P39*1000)*(P$7&lt;'Fin Inputs'!$F$13)</f>
        <v>0</v>
      </c>
      <c r="Q40" s="134">
        <f>-Q38*('Fin Inputs'!$M$50*Q39*1000)*(Q$7&lt;'Fin Inputs'!$F$13)</f>
        <v>0</v>
      </c>
      <c r="R40" s="134">
        <f>-R38*('Fin Inputs'!$M$50*R39*1000)*(R$7&lt;'Fin Inputs'!$F$13)</f>
        <v>0</v>
      </c>
      <c r="S40" s="134">
        <f>-S38*('Fin Inputs'!$M$50*S39*1000)*(S$7&lt;'Fin Inputs'!$F$13)</f>
        <v>0</v>
      </c>
      <c r="T40" s="134">
        <f>-T38*('Fin Inputs'!$M$50*T39*1000)*(T$7&lt;'Fin Inputs'!$F$13)</f>
        <v>0</v>
      </c>
      <c r="U40" s="134">
        <f>-U38*('Fin Inputs'!$M$50*U39*1000)*(U$7&lt;'Fin Inputs'!$F$13)</f>
        <v>0</v>
      </c>
      <c r="V40" s="134">
        <f>-V38*('Fin Inputs'!$M$50*V39*1000)*(V$7&lt;'Fin Inputs'!$F$13)</f>
        <v>0</v>
      </c>
      <c r="W40" s="134">
        <f>-W38*('Fin Inputs'!$M$50*W39*1000)*(W$7&lt;'Fin Inputs'!$F$13)</f>
        <v>0</v>
      </c>
      <c r="X40" s="134">
        <f>-X38*('Fin Inputs'!$M$50*X39*1000)*(X$7&lt;'Fin Inputs'!$F$13)</f>
        <v>0</v>
      </c>
      <c r="Y40" s="134">
        <f>-Y38*('Fin Inputs'!$M$50*Y39*1000)*(Y$7&lt;'Fin Inputs'!$F$13)</f>
        <v>0</v>
      </c>
      <c r="Z40" s="134">
        <f>-Z38*('Fin Inputs'!$M$50*Z39*1000)*(Z$7&lt;'Fin Inputs'!$F$13)</f>
        <v>0</v>
      </c>
      <c r="AA40" s="134">
        <f>-AA38*('Fin Inputs'!$M$50*AA39*1000)*(AA$7&lt;'Fin Inputs'!$F$13)</f>
        <v>0</v>
      </c>
      <c r="AB40" s="134">
        <f>-AB38*('Fin Inputs'!$M$50*AB39*1000)*(AB$7&lt;'Fin Inputs'!$F$13)</f>
        <v>0</v>
      </c>
      <c r="AC40" s="134">
        <f>-AC38*('Fin Inputs'!$M$50*AC39*1000)*(AC$7&lt;'Fin Inputs'!$F$13)</f>
        <v>0</v>
      </c>
      <c r="AD40" s="134">
        <f>-AD38*('Fin Inputs'!$M$50*AD39*1000)*(AD$7&lt;'Fin Inputs'!$F$13)</f>
        <v>0</v>
      </c>
      <c r="AE40" s="134">
        <f>-AE38*('Fin Inputs'!$M$50*AE39*1000)*(AE$7&lt;'Fin Inputs'!$F$13)</f>
        <v>0</v>
      </c>
    </row>
    <row r="42" spans="1:31" x14ac:dyDescent="0.3">
      <c r="C42" s="133" t="s">
        <v>318</v>
      </c>
    </row>
    <row r="43" spans="1:31" x14ac:dyDescent="0.3">
      <c r="D43" t="s">
        <v>319</v>
      </c>
      <c r="G43" s="137">
        <v>0</v>
      </c>
      <c r="H43" s="137">
        <v>0</v>
      </c>
      <c r="I43" s="137">
        <v>0</v>
      </c>
      <c r="J43" s="137">
        <v>0</v>
      </c>
      <c r="K43" s="137">
        <v>0</v>
      </c>
      <c r="L43" s="137">
        <v>0</v>
      </c>
      <c r="M43" s="137">
        <v>0</v>
      </c>
      <c r="N43" s="137">
        <v>0</v>
      </c>
      <c r="O43" s="137">
        <v>0</v>
      </c>
      <c r="P43" s="137">
        <v>0</v>
      </c>
      <c r="Q43" s="137">
        <v>0</v>
      </c>
      <c r="R43" s="137">
        <v>0</v>
      </c>
      <c r="S43" s="137">
        <v>0</v>
      </c>
      <c r="T43" s="137">
        <v>0</v>
      </c>
      <c r="U43" s="137">
        <v>0</v>
      </c>
      <c r="V43" s="137">
        <v>0</v>
      </c>
      <c r="W43" s="137">
        <v>0</v>
      </c>
      <c r="X43" s="137">
        <v>0</v>
      </c>
      <c r="Y43" s="137">
        <v>0</v>
      </c>
      <c r="Z43" s="137">
        <v>0</v>
      </c>
      <c r="AA43" s="137">
        <v>0</v>
      </c>
      <c r="AB43" s="137">
        <v>0</v>
      </c>
      <c r="AC43" s="137">
        <v>0</v>
      </c>
      <c r="AD43" s="137">
        <v>0</v>
      </c>
      <c r="AE43" s="137">
        <v>0</v>
      </c>
    </row>
    <row r="44" spans="1:31" x14ac:dyDescent="0.3">
      <c r="D44" t="s">
        <v>320</v>
      </c>
      <c r="F44" s="97"/>
      <c r="G44" s="97">
        <f>-Debt!G14</f>
        <v>0</v>
      </c>
      <c r="H44" s="97">
        <f>-Debt!H14</f>
        <v>0</v>
      </c>
      <c r="I44" s="97">
        <f>-Debt!I14</f>
        <v>0</v>
      </c>
      <c r="J44" s="97">
        <f>-Debt!J14</f>
        <v>0</v>
      </c>
      <c r="K44" s="97">
        <f>-Debt!K14</f>
        <v>0</v>
      </c>
      <c r="L44" s="97">
        <f>-Debt!L14</f>
        <v>0</v>
      </c>
      <c r="M44" s="97">
        <f>-Debt!M14</f>
        <v>0</v>
      </c>
      <c r="N44" s="97">
        <f>-Debt!N14</f>
        <v>0</v>
      </c>
      <c r="O44" s="97">
        <f>-Debt!O14</f>
        <v>0</v>
      </c>
      <c r="P44" s="97">
        <f>-Debt!P14</f>
        <v>0</v>
      </c>
      <c r="Q44" s="97">
        <f>-Debt!Q14</f>
        <v>0</v>
      </c>
      <c r="R44" s="97">
        <f>-Debt!R14</f>
        <v>0</v>
      </c>
      <c r="S44" s="97">
        <f>-Debt!S14</f>
        <v>0</v>
      </c>
      <c r="T44" s="97">
        <f>-Debt!T14</f>
        <v>0</v>
      </c>
      <c r="U44" s="97">
        <f>-Debt!U14</f>
        <v>0</v>
      </c>
      <c r="V44" s="97">
        <f>-Debt!V14</f>
        <v>0</v>
      </c>
      <c r="W44" s="97">
        <f>-Debt!W14</f>
        <v>0</v>
      </c>
      <c r="X44" s="97">
        <f>-Debt!X14</f>
        <v>0</v>
      </c>
      <c r="Y44" s="97">
        <f>-Debt!Y14</f>
        <v>0</v>
      </c>
      <c r="Z44" s="97">
        <f>-Debt!Z14</f>
        <v>0</v>
      </c>
      <c r="AA44" s="97">
        <f>-Debt!AA14</f>
        <v>0</v>
      </c>
      <c r="AB44" s="97">
        <f>-Debt!AB14</f>
        <v>0</v>
      </c>
      <c r="AC44" s="97">
        <f>-Debt!AC14</f>
        <v>0</v>
      </c>
      <c r="AD44" s="97">
        <f>-Debt!AD14</f>
        <v>0</v>
      </c>
      <c r="AE44" s="97">
        <f>-Debt!AE14</f>
        <v>0</v>
      </c>
    </row>
    <row r="45" spans="1:31" x14ac:dyDescent="0.3">
      <c r="D45" t="s">
        <v>321</v>
      </c>
      <c r="G45" s="131">
        <f>-Debt!G13</f>
        <v>0</v>
      </c>
      <c r="H45" s="131">
        <f>-Debt!H13</f>
        <v>0</v>
      </c>
      <c r="I45" s="131">
        <f>-Debt!I13</f>
        <v>0</v>
      </c>
      <c r="J45" s="131">
        <f>-Debt!J13</f>
        <v>0</v>
      </c>
      <c r="K45" s="131">
        <f>-Debt!K13</f>
        <v>0</v>
      </c>
      <c r="L45" s="131">
        <f>-Debt!L13</f>
        <v>0</v>
      </c>
      <c r="M45" s="131">
        <f>-Debt!M13</f>
        <v>0</v>
      </c>
      <c r="N45" s="131">
        <f>-Debt!N13</f>
        <v>0</v>
      </c>
      <c r="O45" s="131">
        <f>-Debt!O13</f>
        <v>0</v>
      </c>
      <c r="P45" s="131">
        <f>-Debt!P13</f>
        <v>0</v>
      </c>
      <c r="Q45" s="131">
        <f>-Debt!Q13</f>
        <v>0</v>
      </c>
      <c r="R45" s="131">
        <f>-Debt!R13</f>
        <v>0</v>
      </c>
      <c r="S45" s="131">
        <f>-Debt!S13</f>
        <v>0</v>
      </c>
      <c r="T45" s="131">
        <f>-Debt!T13</f>
        <v>0</v>
      </c>
      <c r="U45" s="131">
        <f>-Debt!U13</f>
        <v>0</v>
      </c>
      <c r="V45" s="131">
        <f>-Debt!V13</f>
        <v>0</v>
      </c>
      <c r="W45" s="131">
        <f>-Debt!W13</f>
        <v>0</v>
      </c>
      <c r="X45" s="131">
        <f>-Debt!X13</f>
        <v>0</v>
      </c>
      <c r="Y45" s="131">
        <f>-Debt!Y13</f>
        <v>0</v>
      </c>
      <c r="Z45" s="131">
        <f>-Debt!Z13</f>
        <v>0</v>
      </c>
      <c r="AA45" s="131">
        <f>-Debt!AA13</f>
        <v>0</v>
      </c>
      <c r="AB45" s="131">
        <f>-Debt!AB13</f>
        <v>0</v>
      </c>
      <c r="AC45" s="131">
        <f>-Debt!AC13</f>
        <v>0</v>
      </c>
      <c r="AD45" s="131">
        <f>-Debt!AD13</f>
        <v>0</v>
      </c>
      <c r="AE45" s="131">
        <f>-Debt!AE13</f>
        <v>0</v>
      </c>
    </row>
    <row r="46" spans="1:31" x14ac:dyDescent="0.3">
      <c r="C46" s="133"/>
      <c r="D46" s="133" t="s">
        <v>322</v>
      </c>
      <c r="F46">
        <v>0</v>
      </c>
      <c r="G46" s="134">
        <f>SUM(G43:G45)</f>
        <v>0</v>
      </c>
      <c r="H46" s="134">
        <f t="shared" ref="H46:AE46" si="12">SUM(H43:H45)</f>
        <v>0</v>
      </c>
      <c r="I46" s="134">
        <f t="shared" si="12"/>
        <v>0</v>
      </c>
      <c r="J46" s="134">
        <f t="shared" si="12"/>
        <v>0</v>
      </c>
      <c r="K46" s="134">
        <f t="shared" si="12"/>
        <v>0</v>
      </c>
      <c r="L46" s="134">
        <f t="shared" si="12"/>
        <v>0</v>
      </c>
      <c r="M46" s="134">
        <f t="shared" si="12"/>
        <v>0</v>
      </c>
      <c r="N46" s="134">
        <f t="shared" si="12"/>
        <v>0</v>
      </c>
      <c r="O46" s="134">
        <f t="shared" si="12"/>
        <v>0</v>
      </c>
      <c r="P46" s="134">
        <f t="shared" si="12"/>
        <v>0</v>
      </c>
      <c r="Q46" s="134">
        <f t="shared" si="12"/>
        <v>0</v>
      </c>
      <c r="R46" s="134">
        <f t="shared" si="12"/>
        <v>0</v>
      </c>
      <c r="S46" s="134">
        <f t="shared" si="12"/>
        <v>0</v>
      </c>
      <c r="T46" s="134">
        <f t="shared" si="12"/>
        <v>0</v>
      </c>
      <c r="U46" s="134">
        <f t="shared" si="12"/>
        <v>0</v>
      </c>
      <c r="V46" s="134">
        <f t="shared" si="12"/>
        <v>0</v>
      </c>
      <c r="W46" s="134">
        <f t="shared" si="12"/>
        <v>0</v>
      </c>
      <c r="X46" s="134">
        <f t="shared" si="12"/>
        <v>0</v>
      </c>
      <c r="Y46" s="134">
        <f t="shared" si="12"/>
        <v>0</v>
      </c>
      <c r="Z46" s="134">
        <f t="shared" si="12"/>
        <v>0</v>
      </c>
      <c r="AA46" s="134">
        <f t="shared" si="12"/>
        <v>0</v>
      </c>
      <c r="AB46" s="134">
        <f t="shared" si="12"/>
        <v>0</v>
      </c>
      <c r="AC46" s="134">
        <f t="shared" si="12"/>
        <v>0</v>
      </c>
      <c r="AD46" s="134">
        <f t="shared" si="12"/>
        <v>0</v>
      </c>
      <c r="AE46" s="134">
        <f t="shared" si="12"/>
        <v>0</v>
      </c>
    </row>
    <row r="47" spans="1:31" x14ac:dyDescent="0.3">
      <c r="F47" s="5"/>
    </row>
    <row r="48" spans="1:31" x14ac:dyDescent="0.3">
      <c r="C48" s="133" t="s">
        <v>260</v>
      </c>
    </row>
    <row r="49" spans="3:31" x14ac:dyDescent="0.3">
      <c r="D49" t="s">
        <v>323</v>
      </c>
      <c r="G49" s="41">
        <f>G36+G46</f>
        <v>2135.697705249198</v>
      </c>
      <c r="H49" s="41">
        <f t="shared" ref="H49:AE49" si="13">H36+H46</f>
        <v>751.92658763049462</v>
      </c>
      <c r="I49" s="41">
        <f t="shared" si="13"/>
        <v>473.38003767035883</v>
      </c>
      <c r="J49" s="41">
        <f t="shared" si="13"/>
        <v>494.46391174943574</v>
      </c>
      <c r="K49" s="41">
        <f t="shared" si="13"/>
        <v>536.95544719679333</v>
      </c>
      <c r="L49" s="41">
        <f t="shared" si="13"/>
        <v>556.86463940649276</v>
      </c>
      <c r="M49" s="41">
        <f t="shared" si="13"/>
        <v>574.53516142583919</v>
      </c>
      <c r="N49" s="41">
        <f t="shared" si="13"/>
        <v>592.04252079115804</v>
      </c>
      <c r="O49" s="41">
        <f t="shared" si="13"/>
        <v>609.38345424936915</v>
      </c>
      <c r="P49" s="41">
        <f t="shared" si="13"/>
        <v>626.55463328232997</v>
      </c>
      <c r="Q49" s="41">
        <f t="shared" si="13"/>
        <v>673.25993833952157</v>
      </c>
      <c r="R49" s="41">
        <f t="shared" si="13"/>
        <v>722.44898392593552</v>
      </c>
      <c r="S49" s="41">
        <f t="shared" si="13"/>
        <v>771.45788475823861</v>
      </c>
      <c r="T49" s="41">
        <f t="shared" si="13"/>
        <v>820.28303794134865</v>
      </c>
      <c r="U49" s="41">
        <f t="shared" si="13"/>
        <v>868.92076852228183</v>
      </c>
      <c r="V49" s="41">
        <f t="shared" si="13"/>
        <v>910.37691528526875</v>
      </c>
      <c r="W49" s="41">
        <f t="shared" si="13"/>
        <v>784.93172765993745</v>
      </c>
      <c r="X49" s="41">
        <f t="shared" si="13"/>
        <v>700.47794208577875</v>
      </c>
      <c r="Y49" s="41">
        <f t="shared" si="13"/>
        <v>728.94794255945885</v>
      </c>
      <c r="Z49" s="41">
        <f t="shared" si="13"/>
        <v>757.27163797528976</v>
      </c>
      <c r="AA49" s="41">
        <f t="shared" si="13"/>
        <v>88.355883586156153</v>
      </c>
      <c r="AB49" s="41">
        <f t="shared" si="13"/>
        <v>0</v>
      </c>
      <c r="AC49" s="41">
        <f t="shared" si="13"/>
        <v>0</v>
      </c>
      <c r="AD49" s="41">
        <f t="shared" si="13"/>
        <v>0</v>
      </c>
      <c r="AE49" s="41">
        <f t="shared" si="13"/>
        <v>0</v>
      </c>
    </row>
    <row r="50" spans="3:31" x14ac:dyDescent="0.3">
      <c r="D50" t="s">
        <v>324</v>
      </c>
      <c r="F50">
        <v>0</v>
      </c>
      <c r="G50" s="98">
        <f>-IRR!H$39</f>
        <v>-2135.697705249198</v>
      </c>
      <c r="H50" s="98">
        <f>-IRR!I$39</f>
        <v>-751.92658763049462</v>
      </c>
      <c r="I50" s="98">
        <f>-IRR!J$39</f>
        <v>-473.38003767035883</v>
      </c>
      <c r="J50" s="98">
        <f>-IRR!K$39</f>
        <v>-494.46391174943574</v>
      </c>
      <c r="K50" s="98">
        <f>-IRR!L$39</f>
        <v>-536.95544719679333</v>
      </c>
      <c r="L50" s="98">
        <f>-IRR!M$39</f>
        <v>-556.86463940649276</v>
      </c>
      <c r="M50" s="98">
        <f>-IRR!N$39</f>
        <v>-574.53516142583919</v>
      </c>
      <c r="N50" s="98">
        <f>-IRR!O$39</f>
        <v>-592.04252079115804</v>
      </c>
      <c r="O50" s="98">
        <f>-IRR!P$39</f>
        <v>-609.38345424936915</v>
      </c>
      <c r="P50" s="98">
        <f>-IRR!Q$39</f>
        <v>-626.55463328232997</v>
      </c>
      <c r="Q50" s="98">
        <f>-IRR!R$39</f>
        <v>-673.25993833952157</v>
      </c>
      <c r="R50" s="98">
        <f>-IRR!S$39</f>
        <v>-722.44898392593552</v>
      </c>
      <c r="S50" s="98">
        <f>-IRR!T$39</f>
        <v>-771.45788475823861</v>
      </c>
      <c r="T50" s="98">
        <f>-IRR!U$39</f>
        <v>-820.28303794134865</v>
      </c>
      <c r="U50" s="98">
        <f>-IRR!V$39</f>
        <v>-868.92076852228183</v>
      </c>
      <c r="V50" s="98">
        <f>-IRR!W$39</f>
        <v>-910.37691528526875</v>
      </c>
      <c r="W50" s="98">
        <f>-IRR!X$39</f>
        <v>-784.93172765993745</v>
      </c>
      <c r="X50" s="98">
        <f>-IRR!Y$39</f>
        <v>-700.47794208577875</v>
      </c>
      <c r="Y50" s="98">
        <f>-IRR!Z$39</f>
        <v>-728.94794255945885</v>
      </c>
      <c r="Z50" s="98">
        <f>-IRR!AA$39</f>
        <v>-757.27163797528976</v>
      </c>
      <c r="AA50" s="98">
        <f>-IRR!AB$39</f>
        <v>0</v>
      </c>
      <c r="AB50" s="98">
        <f>-IRR!AC$39</f>
        <v>0</v>
      </c>
      <c r="AC50" s="98">
        <f>-IRR!AD$39</f>
        <v>0</v>
      </c>
      <c r="AD50" s="98">
        <f>-IRR!AE$39</f>
        <v>0</v>
      </c>
      <c r="AE50" s="98">
        <f>-IRR!AF$39</f>
        <v>0</v>
      </c>
    </row>
    <row r="51" spans="3:31" x14ac:dyDescent="0.3">
      <c r="D51" t="s">
        <v>325</v>
      </c>
      <c r="G51" s="41">
        <f t="shared" ref="G51:AE51" si="14">SUM(G49:G50)</f>
        <v>0</v>
      </c>
      <c r="H51" s="41">
        <f t="shared" si="14"/>
        <v>0</v>
      </c>
      <c r="I51" s="41">
        <f t="shared" si="14"/>
        <v>0</v>
      </c>
      <c r="J51" s="41">
        <f t="shared" si="14"/>
        <v>0</v>
      </c>
      <c r="K51" s="41">
        <f t="shared" si="14"/>
        <v>0</v>
      </c>
      <c r="L51" s="41">
        <f t="shared" si="14"/>
        <v>0</v>
      </c>
      <c r="M51" s="41">
        <f t="shared" si="14"/>
        <v>0</v>
      </c>
      <c r="N51" s="41">
        <f t="shared" si="14"/>
        <v>0</v>
      </c>
      <c r="O51" s="41">
        <f t="shared" si="14"/>
        <v>0</v>
      </c>
      <c r="P51" s="41">
        <f t="shared" si="14"/>
        <v>0</v>
      </c>
      <c r="Q51" s="41">
        <f t="shared" si="14"/>
        <v>0</v>
      </c>
      <c r="R51" s="41">
        <f t="shared" si="14"/>
        <v>0</v>
      </c>
      <c r="S51" s="41">
        <f t="shared" si="14"/>
        <v>0</v>
      </c>
      <c r="T51" s="41">
        <f t="shared" si="14"/>
        <v>0</v>
      </c>
      <c r="U51" s="41">
        <f t="shared" si="14"/>
        <v>0</v>
      </c>
      <c r="V51" s="41">
        <f t="shared" si="14"/>
        <v>0</v>
      </c>
      <c r="W51" s="41">
        <f t="shared" si="14"/>
        <v>0</v>
      </c>
      <c r="X51" s="41">
        <f t="shared" si="14"/>
        <v>0</v>
      </c>
      <c r="Y51" s="41">
        <f t="shared" si="14"/>
        <v>0</v>
      </c>
      <c r="Z51" s="41">
        <f t="shared" si="14"/>
        <v>0</v>
      </c>
      <c r="AA51" s="41">
        <f t="shared" si="14"/>
        <v>88.355883586156153</v>
      </c>
      <c r="AB51" s="41">
        <f t="shared" si="14"/>
        <v>0</v>
      </c>
      <c r="AC51" s="41">
        <f t="shared" si="14"/>
        <v>0</v>
      </c>
      <c r="AD51" s="41">
        <f t="shared" si="14"/>
        <v>0</v>
      </c>
      <c r="AE51" s="41">
        <f t="shared" si="14"/>
        <v>0</v>
      </c>
    </row>
    <row r="53" spans="3:31" x14ac:dyDescent="0.3">
      <c r="D53" t="s">
        <v>326</v>
      </c>
      <c r="G53" s="141">
        <f>'Fin Inputs'!$M$37</f>
        <v>0</v>
      </c>
      <c r="H53" s="41">
        <f t="shared" ref="H53:AE53" si="15">G54</f>
        <v>0</v>
      </c>
      <c r="I53" s="41">
        <f t="shared" si="15"/>
        <v>0</v>
      </c>
      <c r="J53" s="41">
        <f t="shared" si="15"/>
        <v>0</v>
      </c>
      <c r="K53" s="41">
        <f t="shared" si="15"/>
        <v>0</v>
      </c>
      <c r="L53" s="41">
        <f t="shared" si="15"/>
        <v>0</v>
      </c>
      <c r="M53" s="41">
        <f t="shared" si="15"/>
        <v>0</v>
      </c>
      <c r="N53" s="41">
        <f t="shared" si="15"/>
        <v>0</v>
      </c>
      <c r="O53" s="41">
        <f t="shared" si="15"/>
        <v>0</v>
      </c>
      <c r="P53" s="41">
        <f t="shared" si="15"/>
        <v>0</v>
      </c>
      <c r="Q53" s="41">
        <f t="shared" si="15"/>
        <v>0</v>
      </c>
      <c r="R53" s="41">
        <f t="shared" si="15"/>
        <v>0</v>
      </c>
      <c r="S53" s="41">
        <f t="shared" si="15"/>
        <v>0</v>
      </c>
      <c r="T53" s="41">
        <f t="shared" si="15"/>
        <v>0</v>
      </c>
      <c r="U53" s="41">
        <f t="shared" si="15"/>
        <v>0</v>
      </c>
      <c r="V53" s="41">
        <f t="shared" si="15"/>
        <v>0</v>
      </c>
      <c r="W53" s="41">
        <f t="shared" si="15"/>
        <v>0</v>
      </c>
      <c r="X53" s="41">
        <f t="shared" si="15"/>
        <v>0</v>
      </c>
      <c r="Y53" s="41">
        <f t="shared" si="15"/>
        <v>0</v>
      </c>
      <c r="Z53" s="41">
        <f t="shared" si="15"/>
        <v>0</v>
      </c>
      <c r="AA53" s="41">
        <f t="shared" si="15"/>
        <v>0</v>
      </c>
      <c r="AB53" s="41">
        <f t="shared" si="15"/>
        <v>88.355883586156153</v>
      </c>
      <c r="AC53" s="41">
        <f t="shared" si="15"/>
        <v>88.355883586156153</v>
      </c>
      <c r="AD53" s="41">
        <f t="shared" si="15"/>
        <v>88.355883586156153</v>
      </c>
      <c r="AE53" s="41">
        <f t="shared" si="15"/>
        <v>88.355883586156153</v>
      </c>
    </row>
    <row r="54" spans="3:31" x14ac:dyDescent="0.3">
      <c r="D54" t="s">
        <v>327</v>
      </c>
      <c r="G54" s="97">
        <f t="shared" ref="G54:AE54" si="16">G51+G53</f>
        <v>0</v>
      </c>
      <c r="H54" s="97">
        <f t="shared" si="16"/>
        <v>0</v>
      </c>
      <c r="I54" s="97">
        <f t="shared" si="16"/>
        <v>0</v>
      </c>
      <c r="J54" s="97">
        <f t="shared" si="16"/>
        <v>0</v>
      </c>
      <c r="K54" s="97">
        <f t="shared" si="16"/>
        <v>0</v>
      </c>
      <c r="L54" s="97">
        <f t="shared" si="16"/>
        <v>0</v>
      </c>
      <c r="M54" s="97">
        <f t="shared" si="16"/>
        <v>0</v>
      </c>
      <c r="N54" s="97">
        <f t="shared" si="16"/>
        <v>0</v>
      </c>
      <c r="O54" s="97">
        <f t="shared" si="16"/>
        <v>0</v>
      </c>
      <c r="P54" s="97">
        <f t="shared" si="16"/>
        <v>0</v>
      </c>
      <c r="Q54" s="97">
        <f t="shared" si="16"/>
        <v>0</v>
      </c>
      <c r="R54" s="97">
        <f t="shared" si="16"/>
        <v>0</v>
      </c>
      <c r="S54" s="97">
        <f t="shared" si="16"/>
        <v>0</v>
      </c>
      <c r="T54" s="97">
        <f t="shared" si="16"/>
        <v>0</v>
      </c>
      <c r="U54" s="97">
        <f t="shared" si="16"/>
        <v>0</v>
      </c>
      <c r="V54" s="97">
        <f t="shared" si="16"/>
        <v>0</v>
      </c>
      <c r="W54" s="97">
        <f t="shared" si="16"/>
        <v>0</v>
      </c>
      <c r="X54" s="97">
        <f t="shared" si="16"/>
        <v>0</v>
      </c>
      <c r="Y54" s="97">
        <f t="shared" si="16"/>
        <v>0</v>
      </c>
      <c r="Z54" s="97">
        <f t="shared" si="16"/>
        <v>0</v>
      </c>
      <c r="AA54" s="97">
        <f t="shared" si="16"/>
        <v>88.355883586156153</v>
      </c>
      <c r="AB54" s="97">
        <f t="shared" si="16"/>
        <v>88.355883586156153</v>
      </c>
      <c r="AC54" s="97">
        <f t="shared" si="16"/>
        <v>88.355883586156153</v>
      </c>
      <c r="AD54" s="97">
        <f t="shared" si="16"/>
        <v>88.355883586156153</v>
      </c>
      <c r="AE54" s="97">
        <f t="shared" si="16"/>
        <v>88.355883586156153</v>
      </c>
    </row>
    <row r="55" spans="3:31" x14ac:dyDescent="0.3">
      <c r="G55" s="97"/>
      <c r="H55" s="97"/>
      <c r="I55" s="97"/>
      <c r="J55" s="97"/>
      <c r="K55" s="97"/>
      <c r="L55" s="97"/>
      <c r="M55" s="97"/>
      <c r="N55" s="97"/>
      <c r="O55" s="97"/>
      <c r="P55" s="97"/>
      <c r="Q55" s="97"/>
      <c r="R55" s="97"/>
      <c r="S55" s="97"/>
      <c r="T55" s="97"/>
      <c r="U55" s="97"/>
      <c r="V55" s="97"/>
      <c r="W55" s="97"/>
      <c r="X55" s="97"/>
      <c r="Y55" s="97"/>
      <c r="Z55" s="97"/>
      <c r="AA55" s="97"/>
      <c r="AB55" s="97"/>
      <c r="AC55" s="97"/>
      <c r="AD55" s="97"/>
      <c r="AE55" s="97"/>
    </row>
    <row r="56" spans="3:31" x14ac:dyDescent="0.3">
      <c r="C56" t="s">
        <v>328</v>
      </c>
      <c r="G56" s="142" t="str">
        <f t="shared" ref="G56:AE56" si="17">IF(SUM(G44:G45)=0,"",(G32+G34)/-SUM(G44:G45))</f>
        <v/>
      </c>
      <c r="H56" s="142" t="str">
        <f t="shared" si="17"/>
        <v/>
      </c>
      <c r="I56" s="142" t="str">
        <f t="shared" si="17"/>
        <v/>
      </c>
      <c r="J56" s="142" t="str">
        <f t="shared" si="17"/>
        <v/>
      </c>
      <c r="K56" s="142" t="str">
        <f t="shared" si="17"/>
        <v/>
      </c>
      <c r="L56" s="142" t="str">
        <f t="shared" si="17"/>
        <v/>
      </c>
      <c r="M56" s="142" t="str">
        <f t="shared" si="17"/>
        <v/>
      </c>
      <c r="N56" s="142" t="str">
        <f t="shared" si="17"/>
        <v/>
      </c>
      <c r="O56" s="142" t="str">
        <f t="shared" si="17"/>
        <v/>
      </c>
      <c r="P56" s="142" t="str">
        <f t="shared" si="17"/>
        <v/>
      </c>
      <c r="Q56" s="142" t="str">
        <f t="shared" si="17"/>
        <v/>
      </c>
      <c r="R56" s="142" t="str">
        <f t="shared" si="17"/>
        <v/>
      </c>
      <c r="S56" s="142" t="str">
        <f t="shared" si="17"/>
        <v/>
      </c>
      <c r="T56" s="142" t="str">
        <f t="shared" si="17"/>
        <v/>
      </c>
      <c r="U56" s="142" t="str">
        <f t="shared" si="17"/>
        <v/>
      </c>
      <c r="V56" s="142" t="str">
        <f t="shared" si="17"/>
        <v/>
      </c>
      <c r="W56" s="142" t="str">
        <f t="shared" si="17"/>
        <v/>
      </c>
      <c r="X56" s="142" t="str">
        <f t="shared" si="17"/>
        <v/>
      </c>
      <c r="Y56" s="142" t="str">
        <f t="shared" si="17"/>
        <v/>
      </c>
      <c r="Z56" s="142" t="str">
        <f t="shared" si="17"/>
        <v/>
      </c>
      <c r="AA56" s="142" t="str">
        <f t="shared" si="17"/>
        <v/>
      </c>
      <c r="AB56" s="142" t="str">
        <f t="shared" si="17"/>
        <v/>
      </c>
      <c r="AC56" s="142" t="str">
        <f t="shared" si="17"/>
        <v/>
      </c>
      <c r="AD56" s="142" t="str">
        <f t="shared" si="17"/>
        <v/>
      </c>
      <c r="AE56" s="142" t="str">
        <f t="shared" si="17"/>
        <v/>
      </c>
    </row>
    <row r="57" spans="3:31" x14ac:dyDescent="0.3">
      <c r="C57" t="s">
        <v>329</v>
      </c>
      <c r="G57" s="142" t="str">
        <f t="shared" ref="G57:AE57" si="18">IF(SUM(G44:G45)=0,"",(G32+G33+G34)/-SUM(G43:G45))</f>
        <v/>
      </c>
      <c r="H57" s="142" t="str">
        <f t="shared" si="18"/>
        <v/>
      </c>
      <c r="I57" s="142" t="str">
        <f t="shared" si="18"/>
        <v/>
      </c>
      <c r="J57" s="142" t="str">
        <f t="shared" si="18"/>
        <v/>
      </c>
      <c r="K57" s="142" t="str">
        <f t="shared" si="18"/>
        <v/>
      </c>
      <c r="L57" s="142" t="str">
        <f t="shared" si="18"/>
        <v/>
      </c>
      <c r="M57" s="142" t="str">
        <f t="shared" si="18"/>
        <v/>
      </c>
      <c r="N57" s="142" t="str">
        <f t="shared" si="18"/>
        <v/>
      </c>
      <c r="O57" s="142" t="str">
        <f t="shared" si="18"/>
        <v/>
      </c>
      <c r="P57" s="142" t="str">
        <f t="shared" si="18"/>
        <v/>
      </c>
      <c r="Q57" s="142" t="str">
        <f t="shared" si="18"/>
        <v/>
      </c>
      <c r="R57" s="142" t="str">
        <f t="shared" si="18"/>
        <v/>
      </c>
      <c r="S57" s="142" t="str">
        <f t="shared" si="18"/>
        <v/>
      </c>
      <c r="T57" s="142" t="str">
        <f t="shared" si="18"/>
        <v/>
      </c>
      <c r="U57" s="142" t="str">
        <f t="shared" si="18"/>
        <v/>
      </c>
      <c r="V57" s="142" t="str">
        <f t="shared" si="18"/>
        <v/>
      </c>
      <c r="W57" s="142" t="str">
        <f t="shared" si="18"/>
        <v/>
      </c>
      <c r="X57" s="142" t="str">
        <f t="shared" si="18"/>
        <v/>
      </c>
      <c r="Y57" s="142" t="str">
        <f t="shared" si="18"/>
        <v/>
      </c>
      <c r="Z57" s="142" t="str">
        <f t="shared" si="18"/>
        <v/>
      </c>
      <c r="AA57" s="142" t="str">
        <f t="shared" si="18"/>
        <v/>
      </c>
      <c r="AB57" s="142" t="str">
        <f t="shared" si="18"/>
        <v/>
      </c>
      <c r="AC57" s="142" t="str">
        <f t="shared" si="18"/>
        <v/>
      </c>
      <c r="AD57" s="142" t="str">
        <f t="shared" si="18"/>
        <v/>
      </c>
      <c r="AE57" s="142" t="str">
        <f t="shared" si="18"/>
        <v/>
      </c>
    </row>
    <row r="59" spans="3:31" x14ac:dyDescent="0.3">
      <c r="C59" s="44" t="s">
        <v>330</v>
      </c>
      <c r="D59" s="45"/>
      <c r="E59" s="46"/>
    </row>
    <row r="60" spans="3:31" x14ac:dyDescent="0.3">
      <c r="C60" s="47"/>
      <c r="D60" t="s">
        <v>331</v>
      </c>
      <c r="E60" s="143">
        <f>MIN(G56:Z56)</f>
        <v>0</v>
      </c>
    </row>
    <row r="61" spans="3:31" x14ac:dyDescent="0.3">
      <c r="C61" s="48"/>
      <c r="D61" s="49" t="s">
        <v>332</v>
      </c>
      <c r="E61" s="144">
        <f>MIN(G57:Z57)</f>
        <v>0</v>
      </c>
    </row>
    <row r="63" spans="3:31" ht="15" thickBot="1" x14ac:dyDescent="0.35">
      <c r="C63" s="130" t="s">
        <v>333</v>
      </c>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row>
    <row r="64" spans="3:31" x14ac:dyDescent="0.3">
      <c r="F64" s="123">
        <f t="shared" ref="F64:AE64" si="19">F$7</f>
        <v>0</v>
      </c>
      <c r="G64" s="123">
        <f t="shared" si="19"/>
        <v>1</v>
      </c>
      <c r="H64" s="123">
        <f t="shared" si="19"/>
        <v>2</v>
      </c>
      <c r="I64" s="123">
        <f t="shared" si="19"/>
        <v>3</v>
      </c>
      <c r="J64" s="123">
        <f t="shared" si="19"/>
        <v>4</v>
      </c>
      <c r="K64" s="123">
        <f t="shared" si="19"/>
        <v>5</v>
      </c>
      <c r="L64" s="123">
        <f t="shared" si="19"/>
        <v>6</v>
      </c>
      <c r="M64" s="123">
        <f t="shared" si="19"/>
        <v>7</v>
      </c>
      <c r="N64" s="123">
        <f t="shared" si="19"/>
        <v>8</v>
      </c>
      <c r="O64" s="123">
        <f t="shared" si="19"/>
        <v>9</v>
      </c>
      <c r="P64" s="123">
        <f t="shared" si="19"/>
        <v>10</v>
      </c>
      <c r="Q64" s="123">
        <f t="shared" si="19"/>
        <v>11</v>
      </c>
      <c r="R64" s="123">
        <f t="shared" si="19"/>
        <v>12</v>
      </c>
      <c r="S64" s="123">
        <f t="shared" si="19"/>
        <v>13</v>
      </c>
      <c r="T64" s="123">
        <f t="shared" si="19"/>
        <v>14</v>
      </c>
      <c r="U64" s="123">
        <f t="shared" si="19"/>
        <v>15</v>
      </c>
      <c r="V64" s="123">
        <f t="shared" si="19"/>
        <v>16</v>
      </c>
      <c r="W64" s="123">
        <f t="shared" si="19"/>
        <v>17</v>
      </c>
      <c r="X64" s="123">
        <f t="shared" si="19"/>
        <v>18</v>
      </c>
      <c r="Y64" s="123">
        <f t="shared" si="19"/>
        <v>19</v>
      </c>
      <c r="Z64" s="123">
        <f t="shared" si="19"/>
        <v>20</v>
      </c>
      <c r="AA64" s="123">
        <f t="shared" si="19"/>
        <v>21</v>
      </c>
      <c r="AB64" s="123">
        <f t="shared" si="19"/>
        <v>22</v>
      </c>
      <c r="AC64" s="123">
        <f t="shared" si="19"/>
        <v>23</v>
      </c>
      <c r="AD64" s="123">
        <f t="shared" si="19"/>
        <v>24</v>
      </c>
      <c r="AE64" s="123">
        <f t="shared" si="19"/>
        <v>25</v>
      </c>
    </row>
    <row r="65" spans="3:31" x14ac:dyDescent="0.3">
      <c r="G65" s="145">
        <v>1</v>
      </c>
      <c r="H65" s="145">
        <v>1</v>
      </c>
      <c r="I65" s="145">
        <v>1</v>
      </c>
      <c r="J65" s="145">
        <v>1</v>
      </c>
      <c r="K65" s="145">
        <v>1</v>
      </c>
      <c r="L65" s="145">
        <v>1</v>
      </c>
      <c r="M65" s="145">
        <v>1</v>
      </c>
      <c r="N65" s="145">
        <v>1</v>
      </c>
      <c r="O65" s="145">
        <v>1</v>
      </c>
      <c r="P65" s="145">
        <v>1</v>
      </c>
      <c r="Q65" s="145">
        <v>1</v>
      </c>
      <c r="R65" s="145">
        <v>1</v>
      </c>
      <c r="S65" s="145">
        <v>1</v>
      </c>
      <c r="T65" s="145">
        <v>1</v>
      </c>
      <c r="U65" s="145">
        <v>1</v>
      </c>
      <c r="V65" s="145">
        <v>1</v>
      </c>
      <c r="W65" s="145">
        <v>1</v>
      </c>
      <c r="X65" s="145">
        <v>1</v>
      </c>
      <c r="Y65" s="145">
        <v>1</v>
      </c>
      <c r="Z65" s="145">
        <v>1</v>
      </c>
      <c r="AA65" s="145">
        <v>1</v>
      </c>
      <c r="AB65" s="145">
        <v>1</v>
      </c>
      <c r="AC65" s="145">
        <v>1</v>
      </c>
      <c r="AD65" s="145">
        <v>1</v>
      </c>
      <c r="AE65" s="145">
        <v>1</v>
      </c>
    </row>
    <row r="66" spans="3:31" x14ac:dyDescent="0.3">
      <c r="C66" t="s">
        <v>334</v>
      </c>
      <c r="F66" s="97"/>
      <c r="G66" s="97"/>
      <c r="H66" s="97"/>
      <c r="I66" s="97"/>
      <c r="J66" s="97"/>
      <c r="K66" s="97"/>
      <c r="L66" s="97"/>
      <c r="M66" s="97"/>
      <c r="N66" s="97"/>
      <c r="O66" s="97"/>
      <c r="P66" s="97"/>
      <c r="Q66" s="97"/>
      <c r="R66" s="97"/>
      <c r="S66" s="97"/>
      <c r="T66" s="97"/>
      <c r="U66" s="97"/>
      <c r="V66" s="97"/>
      <c r="W66" s="97"/>
      <c r="X66" s="97"/>
      <c r="Y66" s="97"/>
      <c r="Z66" s="97"/>
      <c r="AA66" s="97"/>
      <c r="AB66" s="97"/>
      <c r="AC66" s="97"/>
      <c r="AD66" s="97"/>
      <c r="AE66" s="97"/>
    </row>
    <row r="67" spans="3:31" x14ac:dyDescent="0.3">
      <c r="D67" t="s">
        <v>335</v>
      </c>
      <c r="F67" s="146">
        <f>'Dep-Tax-WC'!$H$13</f>
        <v>11934.85</v>
      </c>
      <c r="G67" s="97">
        <f>F67-'Fin Statement'!G40</f>
        <v>11934.85</v>
      </c>
      <c r="H67" s="97">
        <f>G67-'Fin Statement'!H40</f>
        <v>11934.85</v>
      </c>
      <c r="I67" s="97">
        <f>H67-'Fin Statement'!I40</f>
        <v>11934.85</v>
      </c>
      <c r="J67" s="97">
        <f>I67-'Fin Statement'!J40</f>
        <v>11934.85</v>
      </c>
      <c r="K67" s="97">
        <f>J67-'Fin Statement'!K40</f>
        <v>11934.85</v>
      </c>
      <c r="L67" s="97">
        <f>K67-'Fin Statement'!L40</f>
        <v>11934.85</v>
      </c>
      <c r="M67" s="97">
        <f>L67-'Fin Statement'!M40</f>
        <v>11934.85</v>
      </c>
      <c r="N67" s="97">
        <f>M67-'Fin Statement'!N40</f>
        <v>11934.85</v>
      </c>
      <c r="O67" s="97">
        <f>N67-'Fin Statement'!O40</f>
        <v>11934.85</v>
      </c>
      <c r="P67" s="97">
        <f>O67-'Fin Statement'!P40</f>
        <v>11934.85</v>
      </c>
      <c r="Q67" s="97">
        <f>P67-'Fin Statement'!Q40</f>
        <v>11934.85</v>
      </c>
      <c r="R67" s="97">
        <f>Q67-'Fin Statement'!R40</f>
        <v>11934.85</v>
      </c>
      <c r="S67" s="97">
        <f>R67-'Fin Statement'!S40</f>
        <v>11934.85</v>
      </c>
      <c r="T67" s="97">
        <f>S67-'Fin Statement'!T40</f>
        <v>11934.85</v>
      </c>
      <c r="U67" s="97">
        <f>T67-'Fin Statement'!U40</f>
        <v>11934.85</v>
      </c>
      <c r="V67" s="97">
        <f>U67-'Fin Statement'!V40</f>
        <v>11934.85</v>
      </c>
      <c r="W67" s="97">
        <f>V67-'Fin Statement'!W40</f>
        <v>11934.85</v>
      </c>
      <c r="X67" s="97">
        <f>W67-'Fin Statement'!X40</f>
        <v>11934.85</v>
      </c>
      <c r="Y67" s="97">
        <f>X67-'Fin Statement'!Y40</f>
        <v>11934.85</v>
      </c>
      <c r="Z67" s="97">
        <f>Y67-'Fin Statement'!Z40</f>
        <v>11934.85</v>
      </c>
      <c r="AA67" s="97">
        <f>Z67-'Fin Statement'!AA40</f>
        <v>11934.85</v>
      </c>
      <c r="AB67" s="97">
        <f>AA67-'Fin Statement'!AB40</f>
        <v>11934.85</v>
      </c>
      <c r="AC67" s="97">
        <f>AB67-'Fin Statement'!AC40</f>
        <v>11934.85</v>
      </c>
      <c r="AD67" s="97">
        <f>AC67-'Fin Statement'!AD40</f>
        <v>11934.85</v>
      </c>
      <c r="AE67" s="97">
        <f>AD67-'Fin Statement'!AE40</f>
        <v>11934.85</v>
      </c>
    </row>
    <row r="68" spans="3:31" x14ac:dyDescent="0.3">
      <c r="D68" t="s">
        <v>336</v>
      </c>
      <c r="F68" s="147">
        <v>0</v>
      </c>
      <c r="G68" s="97">
        <f>'Dep-Tax-WC'!J$15</f>
        <v>596.74250000000006</v>
      </c>
      <c r="H68" s="97">
        <f>'Dep-Tax-WC'!K$15</f>
        <v>1193.4850000000001</v>
      </c>
      <c r="I68" s="97">
        <f>'Dep-Tax-WC'!L$15</f>
        <v>1790.2275000000002</v>
      </c>
      <c r="J68" s="97">
        <f>'Dep-Tax-WC'!M$15</f>
        <v>2386.9700000000003</v>
      </c>
      <c r="K68" s="97">
        <f>'Dep-Tax-WC'!N$15</f>
        <v>2983.7125000000005</v>
      </c>
      <c r="L68" s="97">
        <f>'Dep-Tax-WC'!O$15</f>
        <v>3580.4550000000008</v>
      </c>
      <c r="M68" s="97">
        <f>'Dep-Tax-WC'!P$15</f>
        <v>4177.1975000000011</v>
      </c>
      <c r="N68" s="97">
        <f>'Dep-Tax-WC'!Q$15</f>
        <v>4773.9400000000014</v>
      </c>
      <c r="O68" s="97">
        <f>'Dep-Tax-WC'!R$15</f>
        <v>5370.6825000000017</v>
      </c>
      <c r="P68" s="97">
        <f>'Dep-Tax-WC'!S$15</f>
        <v>5967.425000000002</v>
      </c>
      <c r="Q68" s="97">
        <f>'Dep-Tax-WC'!T$15</f>
        <v>6564.1675000000023</v>
      </c>
      <c r="R68" s="97">
        <f>'Dep-Tax-WC'!U$15</f>
        <v>7160.9100000000026</v>
      </c>
      <c r="S68" s="97">
        <f>'Dep-Tax-WC'!V$15</f>
        <v>7757.6525000000029</v>
      </c>
      <c r="T68" s="97">
        <f>'Dep-Tax-WC'!W$15</f>
        <v>8354.3950000000023</v>
      </c>
      <c r="U68" s="97">
        <f>'Dep-Tax-WC'!X$15</f>
        <v>8951.1375000000025</v>
      </c>
      <c r="V68" s="97">
        <f>'Dep-Tax-WC'!Y$15</f>
        <v>9547.8800000000028</v>
      </c>
      <c r="W68" s="97">
        <f>'Dep-Tax-WC'!Z$15</f>
        <v>10144.622500000003</v>
      </c>
      <c r="X68" s="97">
        <f>'Dep-Tax-WC'!AA$15</f>
        <v>10741.365000000003</v>
      </c>
      <c r="Y68" s="97">
        <f>'Dep-Tax-WC'!AB$15</f>
        <v>11338.107500000004</v>
      </c>
      <c r="Z68" s="97">
        <f>'Dep-Tax-WC'!AC$15</f>
        <v>11934.850000000004</v>
      </c>
      <c r="AA68" s="97">
        <f>'Dep-Tax-WC'!AD$15</f>
        <v>11934.850000000004</v>
      </c>
      <c r="AB68" s="97">
        <f>'Dep-Tax-WC'!AE$15</f>
        <v>11934.850000000004</v>
      </c>
      <c r="AC68" s="97">
        <f>'Dep-Tax-WC'!AF$15</f>
        <v>11934.850000000004</v>
      </c>
      <c r="AD68" s="97">
        <f>'Dep-Tax-WC'!AG$15</f>
        <v>11934.850000000004</v>
      </c>
      <c r="AE68" s="97">
        <f>'Dep-Tax-WC'!AH$15</f>
        <v>11934.850000000004</v>
      </c>
    </row>
    <row r="69" spans="3:31" x14ac:dyDescent="0.3">
      <c r="D69" t="s">
        <v>337</v>
      </c>
      <c r="F69" s="148">
        <f>F67-F68</f>
        <v>11934.85</v>
      </c>
      <c r="G69" s="97">
        <f>(G67-G68)</f>
        <v>11338.1075</v>
      </c>
      <c r="H69" s="97">
        <f t="shared" ref="H69:Z69" si="20">(H67-H68)</f>
        <v>10741.365</v>
      </c>
      <c r="I69" s="97">
        <f t="shared" si="20"/>
        <v>10144.622499999999</v>
      </c>
      <c r="J69" s="97">
        <f t="shared" si="20"/>
        <v>9547.880000000001</v>
      </c>
      <c r="K69" s="97">
        <f t="shared" si="20"/>
        <v>8951.1375000000007</v>
      </c>
      <c r="L69" s="97">
        <f t="shared" si="20"/>
        <v>8354.3950000000004</v>
      </c>
      <c r="M69" s="97">
        <f t="shared" si="20"/>
        <v>7757.6524999999992</v>
      </c>
      <c r="N69" s="97">
        <f t="shared" si="20"/>
        <v>7160.9099999999989</v>
      </c>
      <c r="O69" s="97">
        <f t="shared" si="20"/>
        <v>6564.1674999999987</v>
      </c>
      <c r="P69" s="97">
        <f t="shared" si="20"/>
        <v>5967.4249999999984</v>
      </c>
      <c r="Q69" s="97">
        <f t="shared" si="20"/>
        <v>5370.6824999999981</v>
      </c>
      <c r="R69" s="97">
        <f t="shared" si="20"/>
        <v>4773.9399999999978</v>
      </c>
      <c r="S69" s="97">
        <f t="shared" si="20"/>
        <v>4177.1974999999975</v>
      </c>
      <c r="T69" s="97">
        <f t="shared" si="20"/>
        <v>3580.4549999999981</v>
      </c>
      <c r="U69" s="97">
        <f t="shared" si="20"/>
        <v>2983.7124999999978</v>
      </c>
      <c r="V69" s="97">
        <f t="shared" si="20"/>
        <v>2386.9699999999975</v>
      </c>
      <c r="W69" s="97">
        <f t="shared" si="20"/>
        <v>1790.2274999999972</v>
      </c>
      <c r="X69" s="97">
        <f t="shared" si="20"/>
        <v>1193.4849999999969</v>
      </c>
      <c r="Y69" s="97">
        <f t="shared" si="20"/>
        <v>596.74249999999665</v>
      </c>
      <c r="Z69" s="97">
        <f t="shared" si="20"/>
        <v>-3.637978807091713E-12</v>
      </c>
      <c r="AA69" s="97">
        <f>(AA67-AA68)</f>
        <v>-3.637978807091713E-12</v>
      </c>
      <c r="AB69" s="97">
        <f>(AB67-AB68)</f>
        <v>-3.637978807091713E-12</v>
      </c>
      <c r="AC69" s="97">
        <f>(AC67-AC68)</f>
        <v>-3.637978807091713E-12</v>
      </c>
      <c r="AD69" s="97">
        <f>(AD67-AD68)</f>
        <v>-3.637978807091713E-12</v>
      </c>
      <c r="AE69" s="97">
        <f>(AE67-AE68)</f>
        <v>-3.637978807091713E-12</v>
      </c>
    </row>
    <row r="70" spans="3:31" x14ac:dyDescent="0.3">
      <c r="D70" t="s">
        <v>242</v>
      </c>
      <c r="F70" s="148">
        <v>0</v>
      </c>
      <c r="G70" s="98">
        <f>'Dep-Tax-WC'!J67</f>
        <v>246.79365033619706</v>
      </c>
      <c r="H70" s="98">
        <f>'Dep-Tax-WC'!K67</f>
        <v>79.713397369638585</v>
      </c>
      <c r="I70" s="98">
        <f>'Dep-Tax-WC'!L67</f>
        <v>69.73134092245256</v>
      </c>
      <c r="J70" s="98">
        <f>'Dep-Tax-WC'!M67</f>
        <v>73.146241263998903</v>
      </c>
      <c r="K70" s="98">
        <f>'Dep-Tax-WC'!N67</f>
        <v>77.347851195780805</v>
      </c>
      <c r="L70" s="98">
        <f>'Dep-Tax-WC'!O67</f>
        <v>79.470754323510903</v>
      </c>
      <c r="M70" s="98">
        <f>'Dep-Tax-WC'!P67</f>
        <v>81.593657451241</v>
      </c>
      <c r="N70" s="98">
        <f>'Dep-Tax-WC'!Q67</f>
        <v>83.716560578971098</v>
      </c>
      <c r="O70" s="98">
        <f>'Dep-Tax-WC'!R67</f>
        <v>85.839463706701196</v>
      </c>
      <c r="P70" s="98">
        <f>'Dep-Tax-WC'!S67</f>
        <v>87.962366834431307</v>
      </c>
      <c r="Q70" s="98">
        <f>'Dep-Tax-WC'!T67</f>
        <v>92.745622995413854</v>
      </c>
      <c r="R70" s="98">
        <f>'Dep-Tax-WC'!U67</f>
        <v>97.528879156396428</v>
      </c>
      <c r="S70" s="98">
        <f>'Dep-Tax-WC'!V67</f>
        <v>102.312135317379</v>
      </c>
      <c r="T70" s="98">
        <f>'Dep-Tax-WC'!W67</f>
        <v>107.09539147836155</v>
      </c>
      <c r="U70" s="98">
        <f>'Dep-Tax-WC'!X67</f>
        <v>111.87864763934412</v>
      </c>
      <c r="V70" s="98">
        <f>'Dep-Tax-WC'!Y67</f>
        <v>116.03589668715721</v>
      </c>
      <c r="W70" s="98">
        <f>'Dep-Tax-WC'!Z67</f>
        <v>120.19314573497032</v>
      </c>
      <c r="X70" s="98">
        <f>'Dep-Tax-WC'!AA67</f>
        <v>124.35039478278338</v>
      </c>
      <c r="Y70" s="98">
        <f>'Dep-Tax-WC'!AB67</f>
        <v>128.50764383059646</v>
      </c>
      <c r="Z70" s="98">
        <f>'Dep-Tax-WC'!AC67</f>
        <v>132.66489287840957</v>
      </c>
      <c r="AA70" s="98">
        <f>'Dep-Tax-WC'!AD67</f>
        <v>0</v>
      </c>
      <c r="AB70" s="98">
        <f>'Dep-Tax-WC'!AE67</f>
        <v>0</v>
      </c>
      <c r="AC70" s="98">
        <f>'Dep-Tax-WC'!AF67</f>
        <v>0</v>
      </c>
      <c r="AD70" s="98">
        <f>'Dep-Tax-WC'!AG67</f>
        <v>0</v>
      </c>
      <c r="AE70" s="98">
        <f>'Dep-Tax-WC'!AH67</f>
        <v>0</v>
      </c>
    </row>
    <row r="71" spans="3:31" s="149" customFormat="1" x14ac:dyDescent="0.3">
      <c r="D71" s="149" t="s">
        <v>338</v>
      </c>
      <c r="F71" s="150">
        <v>0</v>
      </c>
      <c r="G71" s="145">
        <v>0</v>
      </c>
      <c r="H71" s="145">
        <v>0</v>
      </c>
      <c r="I71" s="145">
        <v>0</v>
      </c>
      <c r="J71" s="145">
        <v>0</v>
      </c>
      <c r="K71" s="145">
        <v>0</v>
      </c>
      <c r="L71" s="145">
        <v>0</v>
      </c>
      <c r="M71" s="145">
        <v>0</v>
      </c>
      <c r="N71" s="145">
        <v>0</v>
      </c>
      <c r="O71" s="145">
        <v>0</v>
      </c>
      <c r="P71" s="145">
        <v>0</v>
      </c>
      <c r="Q71" s="145">
        <v>0</v>
      </c>
      <c r="R71" s="145">
        <v>0</v>
      </c>
      <c r="S71" s="145">
        <v>0</v>
      </c>
      <c r="T71" s="145">
        <v>0</v>
      </c>
      <c r="U71" s="145">
        <v>0</v>
      </c>
      <c r="V71" s="145">
        <v>0</v>
      </c>
      <c r="W71" s="145">
        <v>0</v>
      </c>
      <c r="X71" s="145">
        <v>0</v>
      </c>
      <c r="Y71" s="145">
        <v>0</v>
      </c>
      <c r="Z71" s="145">
        <v>0</v>
      </c>
      <c r="AA71" s="145">
        <v>0</v>
      </c>
      <c r="AB71" s="145">
        <v>0</v>
      </c>
      <c r="AC71" s="145">
        <v>0</v>
      </c>
      <c r="AD71" s="145">
        <v>0</v>
      </c>
      <c r="AE71" s="145">
        <v>0</v>
      </c>
    </row>
    <row r="72" spans="3:31" s="149" customFormat="1" x14ac:dyDescent="0.3">
      <c r="D72" s="149" t="s">
        <v>339</v>
      </c>
      <c r="F72" s="150">
        <v>0</v>
      </c>
      <c r="G72" s="145">
        <v>0</v>
      </c>
      <c r="H72" s="145">
        <v>0</v>
      </c>
      <c r="I72" s="145">
        <v>0</v>
      </c>
      <c r="J72" s="145">
        <v>0</v>
      </c>
      <c r="K72" s="145">
        <v>0</v>
      </c>
      <c r="L72" s="145">
        <v>0</v>
      </c>
      <c r="M72" s="145">
        <v>0</v>
      </c>
      <c r="N72" s="145">
        <v>0</v>
      </c>
      <c r="O72" s="145">
        <v>0</v>
      </c>
      <c r="P72" s="145">
        <v>0</v>
      </c>
      <c r="Q72" s="145">
        <v>0</v>
      </c>
      <c r="R72" s="145">
        <v>0</v>
      </c>
      <c r="S72" s="145">
        <v>0</v>
      </c>
      <c r="T72" s="145">
        <v>0</v>
      </c>
      <c r="U72" s="145">
        <v>0</v>
      </c>
      <c r="V72" s="145">
        <v>0</v>
      </c>
      <c r="W72" s="145">
        <v>0</v>
      </c>
      <c r="X72" s="145">
        <v>0</v>
      </c>
      <c r="Y72" s="145">
        <v>0</v>
      </c>
      <c r="Z72" s="145">
        <v>0</v>
      </c>
      <c r="AA72" s="145">
        <v>0</v>
      </c>
      <c r="AB72" s="145">
        <v>0</v>
      </c>
      <c r="AC72" s="145">
        <v>0</v>
      </c>
      <c r="AD72" s="145">
        <v>0</v>
      </c>
      <c r="AE72" s="145">
        <v>0</v>
      </c>
    </row>
    <row r="73" spans="3:31" s="149" customFormat="1" x14ac:dyDescent="0.3">
      <c r="D73" s="135" t="s">
        <v>340</v>
      </c>
      <c r="F73" s="150">
        <v>0</v>
      </c>
      <c r="G73" s="145">
        <v>0</v>
      </c>
      <c r="H73" s="145">
        <v>0</v>
      </c>
      <c r="I73" s="145">
        <v>0</v>
      </c>
      <c r="J73" s="145">
        <v>0</v>
      </c>
      <c r="K73" s="145">
        <v>0</v>
      </c>
      <c r="L73" s="145">
        <v>0</v>
      </c>
      <c r="M73" s="145">
        <v>0</v>
      </c>
      <c r="N73" s="145">
        <v>0</v>
      </c>
      <c r="O73" s="145">
        <v>0</v>
      </c>
      <c r="P73" s="145">
        <v>0</v>
      </c>
      <c r="Q73" s="145">
        <v>0</v>
      </c>
      <c r="R73" s="145">
        <v>0</v>
      </c>
      <c r="S73" s="145">
        <v>0</v>
      </c>
      <c r="T73" s="145">
        <v>0</v>
      </c>
      <c r="U73" s="145">
        <v>0</v>
      </c>
      <c r="V73" s="145">
        <v>0</v>
      </c>
      <c r="W73" s="145">
        <v>0</v>
      </c>
      <c r="X73" s="145">
        <v>0</v>
      </c>
      <c r="Y73" s="145">
        <v>0</v>
      </c>
      <c r="Z73" s="145">
        <v>0</v>
      </c>
      <c r="AA73" s="145">
        <v>0</v>
      </c>
      <c r="AB73" s="145">
        <v>0</v>
      </c>
      <c r="AC73" s="145">
        <v>0</v>
      </c>
      <c r="AD73" s="145">
        <v>0</v>
      </c>
      <c r="AE73" s="145">
        <v>0</v>
      </c>
    </row>
    <row r="74" spans="3:31" s="149" customFormat="1" x14ac:dyDescent="0.3">
      <c r="D74" s="135" t="s">
        <v>341</v>
      </c>
      <c r="F74" s="151">
        <v>0</v>
      </c>
      <c r="G74" s="152">
        <f>-'Dep-Tax-WC'!J57*('Dep-Tax-WC'!J57&lt;0)</f>
        <v>0</v>
      </c>
      <c r="H74" s="152">
        <f>-'Dep-Tax-WC'!K57*('Dep-Tax-WC'!K57&lt;0)</f>
        <v>0</v>
      </c>
      <c r="I74" s="152">
        <f>-'Dep-Tax-WC'!L57*('Dep-Tax-WC'!L57&lt;0)</f>
        <v>0</v>
      </c>
      <c r="J74" s="152">
        <f>-'Dep-Tax-WC'!M57*('Dep-Tax-WC'!M57&lt;0)</f>
        <v>0</v>
      </c>
      <c r="K74" s="152">
        <f>-'Dep-Tax-WC'!N57*('Dep-Tax-WC'!N57&lt;0)</f>
        <v>0</v>
      </c>
      <c r="L74" s="152">
        <f>-'Dep-Tax-WC'!O57*('Dep-Tax-WC'!O57&lt;0)</f>
        <v>0</v>
      </c>
      <c r="M74" s="152">
        <f>-'Dep-Tax-WC'!P57*('Dep-Tax-WC'!P57&lt;0)</f>
        <v>0</v>
      </c>
      <c r="N74" s="152">
        <f>-'Dep-Tax-WC'!Q57*('Dep-Tax-WC'!Q57&lt;0)</f>
        <v>0</v>
      </c>
      <c r="O74" s="152">
        <f>-'Dep-Tax-WC'!R57*('Dep-Tax-WC'!R57&lt;0)</f>
        <v>0</v>
      </c>
      <c r="P74" s="152">
        <f>-'Dep-Tax-WC'!S57*('Dep-Tax-WC'!S57&lt;0)</f>
        <v>0</v>
      </c>
      <c r="Q74" s="152">
        <f>-'Dep-Tax-WC'!T57*('Dep-Tax-WC'!T57&lt;0)</f>
        <v>0</v>
      </c>
      <c r="R74" s="152">
        <f>-'Dep-Tax-WC'!U57*('Dep-Tax-WC'!U57&lt;0)</f>
        <v>0</v>
      </c>
      <c r="S74" s="152">
        <f>-'Dep-Tax-WC'!V57*('Dep-Tax-WC'!V57&lt;0)</f>
        <v>0</v>
      </c>
      <c r="T74" s="152">
        <f>-'Dep-Tax-WC'!W57*('Dep-Tax-WC'!W57&lt;0)</f>
        <v>0</v>
      </c>
      <c r="U74" s="152">
        <f>-'Dep-Tax-WC'!X57*('Dep-Tax-WC'!X57&lt;0)</f>
        <v>0</v>
      </c>
      <c r="V74" s="152">
        <f>-'Dep-Tax-WC'!Y57*('Dep-Tax-WC'!Y57&lt;0)</f>
        <v>0</v>
      </c>
      <c r="W74" s="152">
        <f>-'Dep-Tax-WC'!Z57*('Dep-Tax-WC'!Z57&lt;0)</f>
        <v>0</v>
      </c>
      <c r="X74" s="152">
        <f>-'Dep-Tax-WC'!AA57*('Dep-Tax-WC'!AA57&lt;0)</f>
        <v>0</v>
      </c>
      <c r="Y74" s="152">
        <f>-'Dep-Tax-WC'!AB57*('Dep-Tax-WC'!AB57&lt;0)</f>
        <v>0</v>
      </c>
      <c r="Z74" s="152">
        <f>-'Dep-Tax-WC'!AC57*('Dep-Tax-WC'!AC57&lt;0)</f>
        <v>2.8421709430404007E-13</v>
      </c>
      <c r="AA74" s="152">
        <f>-'Dep-Tax-WC'!AD57*('Dep-Tax-WC'!AD57&lt;0)</f>
        <v>2.8421709430404007E-13</v>
      </c>
      <c r="AB74" s="152">
        <f>-'Dep-Tax-WC'!AE57*('Dep-Tax-WC'!AE57&lt;0)</f>
        <v>2.8421709430404007E-13</v>
      </c>
      <c r="AC74" s="152">
        <f>-'Dep-Tax-WC'!AF57*('Dep-Tax-WC'!AF57&lt;0)</f>
        <v>2.8421709430404007E-13</v>
      </c>
      <c r="AD74" s="152">
        <f>-'Dep-Tax-WC'!AG57*('Dep-Tax-WC'!AG57&lt;0)</f>
        <v>2.8421709430404007E-13</v>
      </c>
      <c r="AE74" s="152">
        <f>-'Dep-Tax-WC'!AH57*('Dep-Tax-WC'!AH57&lt;0)</f>
        <v>2.8421709430404007E-13</v>
      </c>
    </row>
    <row r="75" spans="3:31" x14ac:dyDescent="0.3">
      <c r="D75" t="s">
        <v>342</v>
      </c>
      <c r="F75" s="147">
        <f>G53</f>
        <v>0</v>
      </c>
      <c r="G75" s="97">
        <f t="shared" ref="G75:AE75" si="21">G$54</f>
        <v>0</v>
      </c>
      <c r="H75" s="97">
        <f t="shared" si="21"/>
        <v>0</v>
      </c>
      <c r="I75" s="97">
        <f t="shared" si="21"/>
        <v>0</v>
      </c>
      <c r="J75" s="97">
        <f t="shared" si="21"/>
        <v>0</v>
      </c>
      <c r="K75" s="97">
        <f t="shared" si="21"/>
        <v>0</v>
      </c>
      <c r="L75" s="97">
        <f t="shared" si="21"/>
        <v>0</v>
      </c>
      <c r="M75" s="97">
        <f t="shared" si="21"/>
        <v>0</v>
      </c>
      <c r="N75" s="97">
        <f t="shared" si="21"/>
        <v>0</v>
      </c>
      <c r="O75" s="97">
        <f t="shared" si="21"/>
        <v>0</v>
      </c>
      <c r="P75" s="97">
        <f t="shared" si="21"/>
        <v>0</v>
      </c>
      <c r="Q75" s="97">
        <f t="shared" si="21"/>
        <v>0</v>
      </c>
      <c r="R75" s="97">
        <f t="shared" si="21"/>
        <v>0</v>
      </c>
      <c r="S75" s="97">
        <f t="shared" si="21"/>
        <v>0</v>
      </c>
      <c r="T75" s="97">
        <f t="shared" si="21"/>
        <v>0</v>
      </c>
      <c r="U75" s="97">
        <f t="shared" si="21"/>
        <v>0</v>
      </c>
      <c r="V75" s="97">
        <f t="shared" si="21"/>
        <v>0</v>
      </c>
      <c r="W75" s="97">
        <f t="shared" si="21"/>
        <v>0</v>
      </c>
      <c r="X75" s="97">
        <f t="shared" si="21"/>
        <v>0</v>
      </c>
      <c r="Y75" s="97">
        <f t="shared" si="21"/>
        <v>0</v>
      </c>
      <c r="Z75" s="97">
        <f t="shared" si="21"/>
        <v>0</v>
      </c>
      <c r="AA75" s="97">
        <f t="shared" si="21"/>
        <v>88.355883586156153</v>
      </c>
      <c r="AB75" s="97">
        <f t="shared" si="21"/>
        <v>88.355883586156153</v>
      </c>
      <c r="AC75" s="97">
        <f t="shared" si="21"/>
        <v>88.355883586156153</v>
      </c>
      <c r="AD75" s="97">
        <f t="shared" si="21"/>
        <v>88.355883586156153</v>
      </c>
      <c r="AE75" s="97">
        <f t="shared" si="21"/>
        <v>88.355883586156153</v>
      </c>
    </row>
    <row r="76" spans="3:31" x14ac:dyDescent="0.3">
      <c r="D76" s="133" t="s">
        <v>343</v>
      </c>
      <c r="F76" s="153">
        <f>SUM(F69:F75)</f>
        <v>11934.85</v>
      </c>
      <c r="G76" s="153">
        <f>SUM(G69:G75)</f>
        <v>11584.901150336198</v>
      </c>
      <c r="H76" s="153">
        <f t="shared" ref="H76:Z76" si="22">SUM(H69:H75)</f>
        <v>10821.078397369638</v>
      </c>
      <c r="I76" s="153">
        <f t="shared" si="22"/>
        <v>10214.353840922453</v>
      </c>
      <c r="J76" s="153">
        <f t="shared" si="22"/>
        <v>9621.0262412640004</v>
      </c>
      <c r="K76" s="153">
        <f t="shared" si="22"/>
        <v>9028.4853511957808</v>
      </c>
      <c r="L76" s="153">
        <f t="shared" si="22"/>
        <v>8433.8657543235113</v>
      </c>
      <c r="M76" s="153">
        <f t="shared" si="22"/>
        <v>7839.2461574512399</v>
      </c>
      <c r="N76" s="153">
        <f t="shared" si="22"/>
        <v>7244.6265605789704</v>
      </c>
      <c r="O76" s="153">
        <f t="shared" si="22"/>
        <v>6650.0069637066999</v>
      </c>
      <c r="P76" s="153">
        <f t="shared" si="22"/>
        <v>6055.3873668344295</v>
      </c>
      <c r="Q76" s="153">
        <f t="shared" si="22"/>
        <v>5463.4281229954122</v>
      </c>
      <c r="R76" s="153">
        <f t="shared" si="22"/>
        <v>4871.468879156394</v>
      </c>
      <c r="S76" s="153">
        <f t="shared" si="22"/>
        <v>4279.5096353173767</v>
      </c>
      <c r="T76" s="153">
        <f t="shared" si="22"/>
        <v>3687.5503914783599</v>
      </c>
      <c r="U76" s="153">
        <f t="shared" si="22"/>
        <v>3095.5911476393421</v>
      </c>
      <c r="V76" s="153">
        <f t="shared" si="22"/>
        <v>2503.0058966871547</v>
      </c>
      <c r="W76" s="153">
        <f t="shared" si="22"/>
        <v>1910.4206457349676</v>
      </c>
      <c r="X76" s="153">
        <f t="shared" si="22"/>
        <v>1317.8353947827804</v>
      </c>
      <c r="Y76" s="153">
        <f t="shared" si="22"/>
        <v>725.25014383059306</v>
      </c>
      <c r="Z76" s="153">
        <f t="shared" si="22"/>
        <v>132.66489287840622</v>
      </c>
      <c r="AA76" s="153">
        <f>SUM(AA69:AA75)</f>
        <v>88.3558835861528</v>
      </c>
      <c r="AB76" s="153">
        <f>SUM(AB69:AB75)</f>
        <v>88.3558835861528</v>
      </c>
      <c r="AC76" s="153">
        <f>SUM(AC69:AC75)</f>
        <v>88.3558835861528</v>
      </c>
      <c r="AD76" s="153">
        <f>SUM(AD69:AD75)</f>
        <v>88.3558835861528</v>
      </c>
      <c r="AE76" s="153">
        <f>SUM(AE69:AE75)</f>
        <v>88.3558835861528</v>
      </c>
    </row>
    <row r="77" spans="3:31" x14ac:dyDescent="0.3">
      <c r="F77" s="97"/>
      <c r="G77" s="97"/>
      <c r="H77" s="97"/>
      <c r="I77" s="97"/>
      <c r="J77" s="97"/>
      <c r="K77" s="97"/>
      <c r="L77" s="97"/>
      <c r="M77" s="97"/>
      <c r="N77" s="97"/>
      <c r="O77" s="97"/>
      <c r="P77" s="97"/>
      <c r="Q77" s="97"/>
      <c r="R77" s="97"/>
      <c r="S77" s="97"/>
      <c r="T77" s="97"/>
      <c r="U77" s="97"/>
      <c r="V77" s="97"/>
      <c r="W77" s="97"/>
      <c r="X77" s="97"/>
      <c r="Y77" s="97"/>
      <c r="Z77" s="97"/>
      <c r="AA77" s="97"/>
      <c r="AB77" s="97"/>
      <c r="AC77" s="97"/>
      <c r="AD77" s="97"/>
      <c r="AE77" s="97"/>
    </row>
    <row r="78" spans="3:31" x14ac:dyDescent="0.3">
      <c r="C78" t="s">
        <v>78</v>
      </c>
      <c r="F78" s="97"/>
      <c r="G78" s="97"/>
      <c r="H78" s="97"/>
      <c r="I78" s="97"/>
      <c r="J78" s="97"/>
      <c r="K78" s="97"/>
      <c r="L78" s="97"/>
      <c r="M78" s="97"/>
      <c r="N78" s="97"/>
      <c r="O78" s="97"/>
      <c r="P78" s="97"/>
      <c r="Q78" s="97"/>
      <c r="R78" s="97"/>
      <c r="S78" s="97"/>
      <c r="T78" s="97"/>
      <c r="U78" s="97"/>
      <c r="V78" s="97"/>
      <c r="W78" s="97"/>
      <c r="X78" s="97"/>
      <c r="Y78" s="97"/>
      <c r="Z78" s="97"/>
      <c r="AA78" s="97"/>
      <c r="AB78" s="97"/>
      <c r="AC78" s="97"/>
      <c r="AD78" s="97"/>
      <c r="AE78" s="97"/>
    </row>
    <row r="79" spans="3:31" x14ac:dyDescent="0.3">
      <c r="D79" t="s">
        <v>245</v>
      </c>
      <c r="F79" s="146">
        <v>0</v>
      </c>
      <c r="G79" s="98">
        <f>'Dep-Tax-WC'!J72</f>
        <v>31.643835616438356</v>
      </c>
      <c r="H79" s="98">
        <f>'Dep-Tax-WC'!K72</f>
        <v>31.643835616438356</v>
      </c>
      <c r="I79" s="98">
        <f>'Dep-Tax-WC'!L72</f>
        <v>31.643835616438356</v>
      </c>
      <c r="J79" s="98">
        <f>'Dep-Tax-WC'!M72</f>
        <v>32.276712328767118</v>
      </c>
      <c r="K79" s="98">
        <f>'Dep-Tax-WC'!N72</f>
        <v>32.922246575342463</v>
      </c>
      <c r="L79" s="98">
        <f>'Dep-Tax-WC'!O72</f>
        <v>33.580691506849313</v>
      </c>
      <c r="M79" s="98">
        <f>'Dep-Tax-WC'!P72</f>
        <v>34.252305336986296</v>
      </c>
      <c r="N79" s="98">
        <f>'Dep-Tax-WC'!Q72</f>
        <v>34.937351443726023</v>
      </c>
      <c r="O79" s="98">
        <f>'Dep-Tax-WC'!R72</f>
        <v>35.636098472600544</v>
      </c>
      <c r="P79" s="98">
        <f>'Dep-Tax-WC'!S72</f>
        <v>36.348820442052556</v>
      </c>
      <c r="Q79" s="98">
        <f>'Dep-Tax-WC'!T72</f>
        <v>37.07579685089361</v>
      </c>
      <c r="R79" s="98">
        <f>'Dep-Tax-WC'!U72</f>
        <v>37.817312787911483</v>
      </c>
      <c r="S79" s="98">
        <f>'Dep-Tax-WC'!V72</f>
        <v>38.573659043669714</v>
      </c>
      <c r="T79" s="98">
        <f>'Dep-Tax-WC'!W72</f>
        <v>39.345132224543107</v>
      </c>
      <c r="U79" s="98">
        <f>'Dep-Tax-WC'!X72</f>
        <v>40.132034869033973</v>
      </c>
      <c r="V79" s="98">
        <f>'Dep-Tax-WC'!Y72</f>
        <v>40.934675566414654</v>
      </c>
      <c r="W79" s="98">
        <f>'Dep-Tax-WC'!Z72</f>
        <v>41.753369077742946</v>
      </c>
      <c r="X79" s="98">
        <f>'Dep-Tax-WC'!AA72</f>
        <v>42.588436459297803</v>
      </c>
      <c r="Y79" s="98">
        <f>'Dep-Tax-WC'!AB72</f>
        <v>43.440205188483752</v>
      </c>
      <c r="Z79" s="98">
        <f>'Dep-Tax-WC'!AC72</f>
        <v>44.309009292253428</v>
      </c>
      <c r="AA79" s="98">
        <f>'Dep-Tax-WC'!AD72</f>
        <v>0</v>
      </c>
      <c r="AB79" s="98">
        <f>'Dep-Tax-WC'!AE72</f>
        <v>0</v>
      </c>
      <c r="AC79" s="98">
        <f>'Dep-Tax-WC'!AF72</f>
        <v>0</v>
      </c>
      <c r="AD79" s="98">
        <f>'Dep-Tax-WC'!AG72</f>
        <v>0</v>
      </c>
      <c r="AE79" s="98">
        <f>'Dep-Tax-WC'!AH72</f>
        <v>0</v>
      </c>
    </row>
    <row r="80" spans="3:31" x14ac:dyDescent="0.3">
      <c r="D80" s="149" t="s">
        <v>344</v>
      </c>
      <c r="F80" s="150">
        <v>0</v>
      </c>
      <c r="G80" s="145">
        <v>0</v>
      </c>
      <c r="H80" s="145">
        <v>0</v>
      </c>
      <c r="I80" s="145">
        <v>0</v>
      </c>
      <c r="J80" s="145">
        <v>0</v>
      </c>
      <c r="K80" s="145">
        <v>0</v>
      </c>
      <c r="L80" s="145">
        <v>0</v>
      </c>
      <c r="M80" s="145">
        <v>0</v>
      </c>
      <c r="N80" s="145">
        <v>0</v>
      </c>
      <c r="O80" s="145">
        <v>0</v>
      </c>
      <c r="P80" s="145">
        <v>0</v>
      </c>
      <c r="Q80" s="145">
        <v>0</v>
      </c>
      <c r="R80" s="145">
        <v>0</v>
      </c>
      <c r="S80" s="145">
        <v>0</v>
      </c>
      <c r="T80" s="145">
        <v>0</v>
      </c>
      <c r="U80" s="145">
        <v>0</v>
      </c>
      <c r="V80" s="145">
        <v>0</v>
      </c>
      <c r="W80" s="145">
        <v>0</v>
      </c>
      <c r="X80" s="145">
        <v>0</v>
      </c>
      <c r="Y80" s="145">
        <v>0</v>
      </c>
      <c r="Z80" s="145">
        <v>0</v>
      </c>
      <c r="AA80" s="145">
        <v>0</v>
      </c>
      <c r="AB80" s="145">
        <v>0</v>
      </c>
      <c r="AC80" s="145">
        <v>0</v>
      </c>
      <c r="AD80" s="145">
        <v>0</v>
      </c>
      <c r="AE80" s="145">
        <v>0</v>
      </c>
    </row>
    <row r="81" spans="3:31" x14ac:dyDescent="0.3">
      <c r="D81" s="149" t="s">
        <v>345</v>
      </c>
      <c r="F81" s="150">
        <v>0</v>
      </c>
      <c r="G81" s="145">
        <v>0</v>
      </c>
      <c r="H81" s="145">
        <v>0</v>
      </c>
      <c r="I81" s="145">
        <v>0</v>
      </c>
      <c r="J81" s="145">
        <v>0</v>
      </c>
      <c r="K81" s="145">
        <v>0</v>
      </c>
      <c r="L81" s="145">
        <v>0</v>
      </c>
      <c r="M81" s="145">
        <v>0</v>
      </c>
      <c r="N81" s="145">
        <v>0</v>
      </c>
      <c r="O81" s="145">
        <v>0</v>
      </c>
      <c r="P81" s="145">
        <v>0</v>
      </c>
      <c r="Q81" s="145">
        <v>0</v>
      </c>
      <c r="R81" s="145">
        <v>0</v>
      </c>
      <c r="S81" s="145">
        <v>0</v>
      </c>
      <c r="T81" s="145">
        <v>0</v>
      </c>
      <c r="U81" s="145">
        <v>0</v>
      </c>
      <c r="V81" s="145">
        <v>0</v>
      </c>
      <c r="W81" s="145">
        <v>0</v>
      </c>
      <c r="X81" s="145">
        <v>0</v>
      </c>
      <c r="Y81" s="145">
        <v>0</v>
      </c>
      <c r="Z81" s="145">
        <v>0</v>
      </c>
      <c r="AA81" s="145">
        <v>0</v>
      </c>
      <c r="AB81" s="145">
        <v>0</v>
      </c>
      <c r="AC81" s="145">
        <v>0</v>
      </c>
      <c r="AD81" s="145">
        <v>0</v>
      </c>
      <c r="AE81" s="145">
        <v>0</v>
      </c>
    </row>
    <row r="82" spans="3:31" x14ac:dyDescent="0.3">
      <c r="D82" t="s">
        <v>346</v>
      </c>
      <c r="F82" s="148">
        <f>Debt!F17</f>
        <v>0</v>
      </c>
      <c r="G82" s="97">
        <f>Debt!G$17</f>
        <v>0</v>
      </c>
      <c r="H82" s="97">
        <f>Debt!H$17</f>
        <v>0</v>
      </c>
      <c r="I82" s="97">
        <f>Debt!I$17</f>
        <v>0</v>
      </c>
      <c r="J82" s="97">
        <f>Debt!J$17</f>
        <v>0</v>
      </c>
      <c r="K82" s="97">
        <f>Debt!K$17</f>
        <v>0</v>
      </c>
      <c r="L82" s="97">
        <f>Debt!L$17</f>
        <v>0</v>
      </c>
      <c r="M82" s="97">
        <f>Debt!M$17</f>
        <v>0</v>
      </c>
      <c r="N82" s="97">
        <f>Debt!N$17</f>
        <v>0</v>
      </c>
      <c r="O82" s="97">
        <f>Debt!O$17</f>
        <v>0</v>
      </c>
      <c r="P82" s="97">
        <f>Debt!P$17</f>
        <v>0</v>
      </c>
      <c r="Q82" s="97">
        <f>Debt!Q$17</f>
        <v>0</v>
      </c>
      <c r="R82" s="97">
        <f>Debt!R$17</f>
        <v>0</v>
      </c>
      <c r="S82" s="97">
        <f>Debt!S$17</f>
        <v>0</v>
      </c>
      <c r="T82" s="97">
        <f>Debt!T$17</f>
        <v>0</v>
      </c>
      <c r="U82" s="97">
        <f>Debt!U$17</f>
        <v>0</v>
      </c>
      <c r="V82" s="97">
        <f>Debt!V$17</f>
        <v>0</v>
      </c>
      <c r="W82" s="97">
        <f>Debt!W$17</f>
        <v>0</v>
      </c>
      <c r="X82" s="97">
        <f>Debt!X$17</f>
        <v>0</v>
      </c>
      <c r="Y82" s="97">
        <f>Debt!Y$17</f>
        <v>0</v>
      </c>
      <c r="Z82" s="97">
        <f>Debt!Z$17</f>
        <v>0</v>
      </c>
      <c r="AA82" s="97">
        <f>Debt!AA$17</f>
        <v>0</v>
      </c>
      <c r="AB82" s="97">
        <f>Debt!AB$17</f>
        <v>0</v>
      </c>
      <c r="AC82" s="97">
        <f>Debt!AC$17</f>
        <v>0</v>
      </c>
      <c r="AD82" s="97">
        <f>Debt!AD$17</f>
        <v>0</v>
      </c>
      <c r="AE82" s="97">
        <f>Debt!AE$17</f>
        <v>0</v>
      </c>
    </row>
    <row r="83" spans="3:31" x14ac:dyDescent="0.3">
      <c r="D83" s="135" t="s">
        <v>347</v>
      </c>
      <c r="F83" s="154">
        <v>0</v>
      </c>
      <c r="G83" s="152">
        <f>'Dep-Tax-WC'!J57*('Dep-Tax-WC'!J57&gt;0)</f>
        <v>324.30866276249998</v>
      </c>
      <c r="H83" s="152">
        <f>'Dep-Tax-WC'!K57*('Dep-Tax-WC'!K57&gt;0)</f>
        <v>324.30866276249998</v>
      </c>
      <c r="I83" s="152">
        <f>'Dep-Tax-WC'!L57*('Dep-Tax-WC'!L57&gt;0)</f>
        <v>324.30866276249998</v>
      </c>
      <c r="J83" s="152">
        <f>'Dep-Tax-WC'!M57*('Dep-Tax-WC'!M57&gt;0)</f>
        <v>324.30866276249998</v>
      </c>
      <c r="K83" s="152">
        <f>'Dep-Tax-WC'!N57*('Dep-Tax-WC'!N57&gt;0)</f>
        <v>324.30866276249998</v>
      </c>
      <c r="L83" s="152">
        <f>'Dep-Tax-WC'!O57*('Dep-Tax-WC'!O57&gt;0)</f>
        <v>324.30866276249998</v>
      </c>
      <c r="M83" s="152">
        <f>'Dep-Tax-WC'!P57*('Dep-Tax-WC'!P57&gt;0)</f>
        <v>324.30866276249998</v>
      </c>
      <c r="N83" s="152">
        <f>'Dep-Tax-WC'!Q57*('Dep-Tax-WC'!Q57&gt;0)</f>
        <v>324.30866276249998</v>
      </c>
      <c r="O83" s="152">
        <f>'Dep-Tax-WC'!R57*('Dep-Tax-WC'!R57&gt;0)</f>
        <v>324.30866276249998</v>
      </c>
      <c r="P83" s="152">
        <f>'Dep-Tax-WC'!S57*('Dep-Tax-WC'!S57&gt;0)</f>
        <v>324.30866276249998</v>
      </c>
      <c r="Q83" s="152">
        <f>'Dep-Tax-WC'!T57*('Dep-Tax-WC'!T57&gt;0)</f>
        <v>324.30866276249998</v>
      </c>
      <c r="R83" s="152">
        <f>'Dep-Tax-WC'!U57*('Dep-Tax-WC'!U57&gt;0)</f>
        <v>324.30866276249998</v>
      </c>
      <c r="S83" s="152">
        <f>'Dep-Tax-WC'!V57*('Dep-Tax-WC'!V57&gt;0)</f>
        <v>345.06208239162572</v>
      </c>
      <c r="T83" s="152">
        <f>'Dep-Tax-WC'!W57*('Dep-Tax-WC'!W57&gt;0)</f>
        <v>411.62113626115212</v>
      </c>
      <c r="U83" s="152">
        <f>'Dep-Tax-WC'!X57*('Dep-Tax-WC'!X57&gt;0)</f>
        <v>492.40221320749333</v>
      </c>
      <c r="V83" s="152">
        <f>'Dep-Tax-WC'!Y57*('Dep-Tax-WC'!Y57&gt;0)</f>
        <v>585.12150262093587</v>
      </c>
      <c r="W83" s="152">
        <f>'Dep-Tax-WC'!Z57*('Dep-Tax-WC'!Z57&gt;0)</f>
        <v>523.64154374999976</v>
      </c>
      <c r="X83" s="152">
        <f>'Dep-Tax-WC'!AA57*('Dep-Tax-WC'!AA57&gt;0)</f>
        <v>349.09436249999976</v>
      </c>
      <c r="Y83" s="152">
        <f>'Dep-Tax-WC'!AB57*('Dep-Tax-WC'!AB57&gt;0)</f>
        <v>174.54718124999974</v>
      </c>
      <c r="Z83" s="152">
        <f>'Dep-Tax-WC'!AC57*('Dep-Tax-WC'!AC57&gt;0)</f>
        <v>0</v>
      </c>
      <c r="AA83" s="152">
        <f>'Dep-Tax-WC'!AD57*('Dep-Tax-WC'!AD57&gt;0)</f>
        <v>0</v>
      </c>
      <c r="AB83" s="152">
        <f>'Dep-Tax-WC'!AE57*('Dep-Tax-WC'!AE57&gt;0)</f>
        <v>0</v>
      </c>
      <c r="AC83" s="152">
        <f>'Dep-Tax-WC'!AF57*('Dep-Tax-WC'!AF57&gt;0)</f>
        <v>0</v>
      </c>
      <c r="AD83" s="152">
        <f>'Dep-Tax-WC'!AG57*('Dep-Tax-WC'!AG57&gt;0)</f>
        <v>0</v>
      </c>
      <c r="AE83" s="152">
        <f>'Dep-Tax-WC'!AH57*('Dep-Tax-WC'!AH57&gt;0)</f>
        <v>0</v>
      </c>
    </row>
    <row r="84" spans="3:31" x14ac:dyDescent="0.3">
      <c r="D84" s="133" t="s">
        <v>348</v>
      </c>
      <c r="F84" s="153">
        <f>SUM(F79:F83)</f>
        <v>0</v>
      </c>
      <c r="G84" s="153">
        <f>SUM(G79:G83)</f>
        <v>355.95249837893834</v>
      </c>
      <c r="H84" s="153">
        <f t="shared" ref="H84:Z84" si="23">SUM(H79:H83)</f>
        <v>355.95249837893834</v>
      </c>
      <c r="I84" s="153">
        <f t="shared" si="23"/>
        <v>355.95249837893834</v>
      </c>
      <c r="J84" s="153">
        <f t="shared" si="23"/>
        <v>356.58537509126711</v>
      </c>
      <c r="K84" s="153">
        <f t="shared" si="23"/>
        <v>357.23090933784243</v>
      </c>
      <c r="L84" s="153">
        <f t="shared" si="23"/>
        <v>357.88935426934927</v>
      </c>
      <c r="M84" s="153">
        <f t="shared" si="23"/>
        <v>358.56096809948627</v>
      </c>
      <c r="N84" s="153">
        <f t="shared" si="23"/>
        <v>359.24601420622599</v>
      </c>
      <c r="O84" s="153">
        <f t="shared" si="23"/>
        <v>359.94476123510054</v>
      </c>
      <c r="P84" s="153">
        <f t="shared" si="23"/>
        <v>360.65748320455253</v>
      </c>
      <c r="Q84" s="153">
        <f t="shared" si="23"/>
        <v>361.38445961339357</v>
      </c>
      <c r="R84" s="153">
        <f t="shared" si="23"/>
        <v>362.12597555041145</v>
      </c>
      <c r="S84" s="153">
        <f t="shared" si="23"/>
        <v>383.63574143529542</v>
      </c>
      <c r="T84" s="153">
        <f t="shared" si="23"/>
        <v>450.9662684856952</v>
      </c>
      <c r="U84" s="153">
        <f t="shared" si="23"/>
        <v>532.53424807652732</v>
      </c>
      <c r="V84" s="153">
        <f t="shared" si="23"/>
        <v>626.0561781873505</v>
      </c>
      <c r="W84" s="153">
        <f t="shared" si="23"/>
        <v>565.3949128277427</v>
      </c>
      <c r="X84" s="153">
        <f t="shared" si="23"/>
        <v>391.68279895929754</v>
      </c>
      <c r="Y84" s="153">
        <f t="shared" si="23"/>
        <v>217.9873864384835</v>
      </c>
      <c r="Z84" s="153">
        <f t="shared" si="23"/>
        <v>44.309009292253428</v>
      </c>
      <c r="AA84" s="153">
        <f>SUM(AA79:AA83)</f>
        <v>0</v>
      </c>
      <c r="AB84" s="153">
        <f>SUM(AB79:AB83)</f>
        <v>0</v>
      </c>
      <c r="AC84" s="153">
        <f>SUM(AC79:AC83)</f>
        <v>0</v>
      </c>
      <c r="AD84" s="153">
        <f>SUM(AD79:AD83)</f>
        <v>0</v>
      </c>
      <c r="AE84" s="153">
        <f>SUM(AE79:AE83)</f>
        <v>0</v>
      </c>
    </row>
    <row r="86" spans="3:31" s="97" customFormat="1" x14ac:dyDescent="0.3">
      <c r="C86" s="97" t="s">
        <v>349</v>
      </c>
    </row>
    <row r="87" spans="3:31" s="97" customFormat="1" x14ac:dyDescent="0.3">
      <c r="D87" s="97" t="s">
        <v>350</v>
      </c>
      <c r="F87" s="146">
        <f>'Fin Inputs'!$AC$27</f>
        <v>14041</v>
      </c>
      <c r="G87" s="97">
        <f t="shared" ref="G87:AE87" si="24">F87-G40</f>
        <v>14041</v>
      </c>
      <c r="H87" s="97">
        <f t="shared" si="24"/>
        <v>14041</v>
      </c>
      <c r="I87" s="97">
        <f t="shared" si="24"/>
        <v>14041</v>
      </c>
      <c r="J87" s="97">
        <f t="shared" si="24"/>
        <v>14041</v>
      </c>
      <c r="K87" s="97">
        <f t="shared" si="24"/>
        <v>14041</v>
      </c>
      <c r="L87" s="97">
        <f t="shared" si="24"/>
        <v>14041</v>
      </c>
      <c r="M87" s="97">
        <f t="shared" si="24"/>
        <v>14041</v>
      </c>
      <c r="N87" s="97">
        <f t="shared" si="24"/>
        <v>14041</v>
      </c>
      <c r="O87" s="97">
        <f t="shared" si="24"/>
        <v>14041</v>
      </c>
      <c r="P87" s="97">
        <f t="shared" si="24"/>
        <v>14041</v>
      </c>
      <c r="Q87" s="97">
        <f t="shared" si="24"/>
        <v>14041</v>
      </c>
      <c r="R87" s="97">
        <f t="shared" si="24"/>
        <v>14041</v>
      </c>
      <c r="S87" s="97">
        <f t="shared" si="24"/>
        <v>14041</v>
      </c>
      <c r="T87" s="97">
        <f t="shared" si="24"/>
        <v>14041</v>
      </c>
      <c r="U87" s="97">
        <f t="shared" si="24"/>
        <v>14041</v>
      </c>
      <c r="V87" s="97">
        <f t="shared" si="24"/>
        <v>14041</v>
      </c>
      <c r="W87" s="97">
        <f t="shared" si="24"/>
        <v>14041</v>
      </c>
      <c r="X87" s="97">
        <f t="shared" si="24"/>
        <v>14041</v>
      </c>
      <c r="Y87" s="97">
        <f t="shared" si="24"/>
        <v>14041</v>
      </c>
      <c r="Z87" s="97">
        <f t="shared" si="24"/>
        <v>14041</v>
      </c>
      <c r="AA87" s="97">
        <f t="shared" si="24"/>
        <v>14041</v>
      </c>
      <c r="AB87" s="97">
        <f t="shared" si="24"/>
        <v>14041</v>
      </c>
      <c r="AC87" s="97">
        <f t="shared" si="24"/>
        <v>14041</v>
      </c>
      <c r="AD87" s="97">
        <f t="shared" si="24"/>
        <v>14041</v>
      </c>
      <c r="AE87" s="97">
        <f t="shared" si="24"/>
        <v>14041</v>
      </c>
    </row>
    <row r="88" spans="3:31" s="97" customFormat="1" x14ac:dyDescent="0.3">
      <c r="D88" s="97" t="s">
        <v>305</v>
      </c>
      <c r="F88" s="147">
        <v>0</v>
      </c>
      <c r="G88" s="97">
        <f t="shared" ref="G88:AE88" si="25">G$26</f>
        <v>-705.90134804274157</v>
      </c>
      <c r="H88" s="97">
        <f t="shared" si="25"/>
        <v>-1469.7241010093001</v>
      </c>
      <c r="I88" s="97">
        <f t="shared" si="25"/>
        <v>-2076.4486574564862</v>
      </c>
      <c r="J88" s="97">
        <f t="shared" si="25"/>
        <v>-2670.4091338272688</v>
      </c>
      <c r="K88" s="97">
        <f t="shared" si="25"/>
        <v>-3263.5955581420621</v>
      </c>
      <c r="L88" s="97">
        <f t="shared" si="25"/>
        <v>-3858.8735999458386</v>
      </c>
      <c r="M88" s="97">
        <f t="shared" si="25"/>
        <v>-4454.1648106482453</v>
      </c>
      <c r="N88" s="97">
        <f t="shared" si="25"/>
        <v>-5049.4694536272546</v>
      </c>
      <c r="O88" s="97">
        <f t="shared" si="25"/>
        <v>-5644.7877975283991</v>
      </c>
      <c r="P88" s="97">
        <f t="shared" si="25"/>
        <v>-6240.1201163701207</v>
      </c>
      <c r="Q88" s="97">
        <f t="shared" si="25"/>
        <v>-6832.8063366179795</v>
      </c>
      <c r="R88" s="97">
        <f t="shared" si="25"/>
        <v>-7425.5070963940152</v>
      </c>
      <c r="S88" s="97">
        <f t="shared" si="25"/>
        <v>-8038.976106117917</v>
      </c>
      <c r="T88" s="97">
        <f t="shared" si="25"/>
        <v>-8698.265877007334</v>
      </c>
      <c r="U88" s="97">
        <f t="shared" si="25"/>
        <v>-9371.7931004371821</v>
      </c>
      <c r="V88" s="97">
        <f t="shared" si="25"/>
        <v>-10057.900281500193</v>
      </c>
      <c r="W88" s="97">
        <f t="shared" si="25"/>
        <v>-10589.824267092772</v>
      </c>
      <c r="X88" s="97">
        <f t="shared" si="25"/>
        <v>-11008.697404176515</v>
      </c>
      <c r="Y88" s="97">
        <f t="shared" si="25"/>
        <v>-11427.587242607888</v>
      </c>
      <c r="Z88" s="97">
        <f t="shared" si="25"/>
        <v>-11846.494116413844</v>
      </c>
      <c r="AA88" s="97">
        <f t="shared" si="25"/>
        <v>-11846.494116413844</v>
      </c>
      <c r="AB88" s="97">
        <f t="shared" si="25"/>
        <v>-11846.494116413844</v>
      </c>
      <c r="AC88" s="97">
        <f t="shared" si="25"/>
        <v>-11846.494116413844</v>
      </c>
      <c r="AD88" s="97">
        <f t="shared" si="25"/>
        <v>-11846.494116413844</v>
      </c>
      <c r="AE88" s="97">
        <f t="shared" si="25"/>
        <v>-11846.494116413844</v>
      </c>
    </row>
    <row r="89" spans="3:31" s="97" customFormat="1" x14ac:dyDescent="0.3">
      <c r="D89" s="153" t="s">
        <v>351</v>
      </c>
      <c r="F89" s="153">
        <f>SUM(F87:F88)</f>
        <v>14041</v>
      </c>
      <c r="G89" s="153">
        <f>SUM(G87:G88)</f>
        <v>13335.098651957258</v>
      </c>
      <c r="H89" s="153">
        <f t="shared" ref="H89:Z89" si="26">SUM(H87:H88)</f>
        <v>12571.2758989907</v>
      </c>
      <c r="I89" s="153">
        <f t="shared" si="26"/>
        <v>11964.551342543513</v>
      </c>
      <c r="J89" s="153">
        <f t="shared" si="26"/>
        <v>11370.590866172732</v>
      </c>
      <c r="K89" s="153">
        <f t="shared" si="26"/>
        <v>10777.404441857938</v>
      </c>
      <c r="L89" s="153">
        <f t="shared" si="26"/>
        <v>10182.126400054161</v>
      </c>
      <c r="M89" s="153">
        <f t="shared" si="26"/>
        <v>9586.8351893517538</v>
      </c>
      <c r="N89" s="153">
        <f t="shared" si="26"/>
        <v>8991.5305463727454</v>
      </c>
      <c r="O89" s="153">
        <f t="shared" si="26"/>
        <v>8396.2122024716009</v>
      </c>
      <c r="P89" s="153">
        <f t="shared" si="26"/>
        <v>7800.8798836298793</v>
      </c>
      <c r="Q89" s="153">
        <f t="shared" si="26"/>
        <v>7208.1936633820205</v>
      </c>
      <c r="R89" s="153">
        <f t="shared" si="26"/>
        <v>6615.4929036059848</v>
      </c>
      <c r="S89" s="153">
        <f t="shared" si="26"/>
        <v>6002.023893882083</v>
      </c>
      <c r="T89" s="153">
        <f t="shared" si="26"/>
        <v>5342.734122992666</v>
      </c>
      <c r="U89" s="153">
        <f t="shared" si="26"/>
        <v>4669.2068995628179</v>
      </c>
      <c r="V89" s="153">
        <f t="shared" si="26"/>
        <v>3983.0997184998068</v>
      </c>
      <c r="W89" s="153">
        <f t="shared" si="26"/>
        <v>3451.1757329072279</v>
      </c>
      <c r="X89" s="153">
        <f t="shared" si="26"/>
        <v>3032.3025958234848</v>
      </c>
      <c r="Y89" s="153">
        <f t="shared" si="26"/>
        <v>2613.4127573921123</v>
      </c>
      <c r="Z89" s="153">
        <f t="shared" si="26"/>
        <v>2194.5058835861564</v>
      </c>
      <c r="AA89" s="153">
        <f>SUM(AA87:AA88)</f>
        <v>2194.5058835861564</v>
      </c>
      <c r="AB89" s="153">
        <f>SUM(AB87:AB88)</f>
        <v>2194.5058835861564</v>
      </c>
      <c r="AC89" s="153">
        <f>SUM(AC87:AC88)</f>
        <v>2194.5058835861564</v>
      </c>
      <c r="AD89" s="153">
        <f>SUM(AD87:AD88)</f>
        <v>2194.5058835861564</v>
      </c>
      <c r="AE89" s="153">
        <f>SUM(AE87:AE88)</f>
        <v>2194.5058835861564</v>
      </c>
    </row>
    <row r="90" spans="3:31" s="97" customFormat="1" x14ac:dyDescent="0.3"/>
    <row r="91" spans="3:31" s="97" customFormat="1" x14ac:dyDescent="0.3">
      <c r="D91" s="153" t="s">
        <v>352</v>
      </c>
      <c r="F91" s="153">
        <f>F84+F89</f>
        <v>14041</v>
      </c>
      <c r="G91" s="153">
        <f>G84+G89</f>
        <v>13691.051150336196</v>
      </c>
      <c r="H91" s="153">
        <f t="shared" ref="H91:Z91" si="27">H84+H89</f>
        <v>12927.228397369638</v>
      </c>
      <c r="I91" s="153">
        <f t="shared" si="27"/>
        <v>12320.503840922451</v>
      </c>
      <c r="J91" s="153">
        <f t="shared" si="27"/>
        <v>11727.176241263998</v>
      </c>
      <c r="K91" s="153">
        <f t="shared" si="27"/>
        <v>11134.63535119578</v>
      </c>
      <c r="L91" s="153">
        <f t="shared" si="27"/>
        <v>10540.015754323511</v>
      </c>
      <c r="M91" s="153">
        <f t="shared" si="27"/>
        <v>9945.3961574512396</v>
      </c>
      <c r="N91" s="153">
        <f t="shared" si="27"/>
        <v>9350.7765605789718</v>
      </c>
      <c r="O91" s="153">
        <f t="shared" si="27"/>
        <v>8756.1569637067023</v>
      </c>
      <c r="P91" s="153">
        <f t="shared" si="27"/>
        <v>8161.5373668344319</v>
      </c>
      <c r="Q91" s="153">
        <f t="shared" si="27"/>
        <v>7569.5781229954137</v>
      </c>
      <c r="R91" s="153">
        <f t="shared" si="27"/>
        <v>6977.6188791563964</v>
      </c>
      <c r="S91" s="153">
        <f t="shared" si="27"/>
        <v>6385.6596353173782</v>
      </c>
      <c r="T91" s="153">
        <f t="shared" si="27"/>
        <v>5793.7003914783609</v>
      </c>
      <c r="U91" s="153">
        <f t="shared" si="27"/>
        <v>5201.7411476393454</v>
      </c>
      <c r="V91" s="153">
        <f t="shared" si="27"/>
        <v>4609.1558966871571</v>
      </c>
      <c r="W91" s="153">
        <f t="shared" si="27"/>
        <v>4016.5706457349706</v>
      </c>
      <c r="X91" s="153">
        <f t="shared" si="27"/>
        <v>3423.9853947827824</v>
      </c>
      <c r="Y91" s="153">
        <f t="shared" si="27"/>
        <v>2831.4001438305959</v>
      </c>
      <c r="Z91" s="153">
        <f t="shared" si="27"/>
        <v>2238.8148928784099</v>
      </c>
      <c r="AA91" s="153">
        <f>AA84+AA89</f>
        <v>2194.5058835861564</v>
      </c>
      <c r="AB91" s="153">
        <f>AB84+AB89</f>
        <v>2194.5058835861564</v>
      </c>
      <c r="AC91" s="153">
        <f>AC84+AC89</f>
        <v>2194.5058835861564</v>
      </c>
      <c r="AD91" s="153">
        <f>AD84+AD89</f>
        <v>2194.5058835861564</v>
      </c>
      <c r="AE91" s="153">
        <f>AE84+AE89</f>
        <v>2194.5058835861564</v>
      </c>
    </row>
    <row r="92" spans="3:31" s="97" customFormat="1" x14ac:dyDescent="0.3"/>
    <row r="93" spans="3:31" s="97" customFormat="1" x14ac:dyDescent="0.3">
      <c r="D93" s="131" t="s">
        <v>353</v>
      </c>
      <c r="E93" s="1" t="str">
        <f>IF(SUM(F93:Z93)&gt;0,"Error","OK")</f>
        <v>OK</v>
      </c>
      <c r="F93" s="97">
        <f t="shared" ref="F93:Z93" si="28">(F75&lt;0)*1</f>
        <v>0</v>
      </c>
      <c r="G93" s="97">
        <f t="shared" si="28"/>
        <v>0</v>
      </c>
      <c r="H93" s="97">
        <f t="shared" si="28"/>
        <v>0</v>
      </c>
      <c r="I93" s="97">
        <f t="shared" si="28"/>
        <v>0</v>
      </c>
      <c r="J93" s="97">
        <f t="shared" si="28"/>
        <v>0</v>
      </c>
      <c r="K93" s="97">
        <f t="shared" si="28"/>
        <v>0</v>
      </c>
      <c r="L93" s="97">
        <f t="shared" si="28"/>
        <v>0</v>
      </c>
      <c r="M93" s="97">
        <f t="shared" si="28"/>
        <v>0</v>
      </c>
      <c r="N93" s="97">
        <f t="shared" si="28"/>
        <v>0</v>
      </c>
      <c r="O93" s="97">
        <f t="shared" si="28"/>
        <v>0</v>
      </c>
      <c r="P93" s="97">
        <f t="shared" si="28"/>
        <v>0</v>
      </c>
      <c r="Q93" s="97">
        <f t="shared" si="28"/>
        <v>0</v>
      </c>
      <c r="R93" s="97">
        <f t="shared" si="28"/>
        <v>0</v>
      </c>
      <c r="S93" s="97">
        <f t="shared" si="28"/>
        <v>0</v>
      </c>
      <c r="T93" s="97">
        <f t="shared" si="28"/>
        <v>0</v>
      </c>
      <c r="U93" s="97">
        <f t="shared" si="28"/>
        <v>0</v>
      </c>
      <c r="V93" s="97">
        <f t="shared" si="28"/>
        <v>0</v>
      </c>
      <c r="W93" s="97">
        <f t="shared" si="28"/>
        <v>0</v>
      </c>
      <c r="X93" s="97">
        <f t="shared" si="28"/>
        <v>0</v>
      </c>
      <c r="Y93" s="97">
        <f t="shared" si="28"/>
        <v>0</v>
      </c>
      <c r="Z93" s="97">
        <f t="shared" si="28"/>
        <v>0</v>
      </c>
      <c r="AA93" s="97">
        <f>(AA75&lt;0)*1</f>
        <v>0</v>
      </c>
      <c r="AB93" s="97">
        <f>(AB75&lt;0)*1</f>
        <v>0</v>
      </c>
      <c r="AC93" s="97">
        <f>(AC75&lt;0)*1</f>
        <v>0</v>
      </c>
      <c r="AD93" s="97">
        <f>(AD75&lt;0)*1</f>
        <v>0</v>
      </c>
      <c r="AE93" s="97">
        <f>(AE75&lt;0)*1</f>
        <v>0</v>
      </c>
    </row>
    <row r="94" spans="3:31" s="97" customFormat="1" x14ac:dyDescent="0.3">
      <c r="D94" s="131" t="s">
        <v>354</v>
      </c>
      <c r="E94" s="1" t="str">
        <f>IF(SUM(F94:Z94)&gt;0,"Error","OK")</f>
        <v>Error</v>
      </c>
      <c r="F94" s="97">
        <f>(ABS(F95)&gt;0.1)*1</f>
        <v>1</v>
      </c>
      <c r="G94" s="97">
        <f t="shared" ref="G94:AE94" si="29">(ABS(G95)&gt;0.1)*1</f>
        <v>1</v>
      </c>
      <c r="H94" s="97">
        <f t="shared" si="29"/>
        <v>1</v>
      </c>
      <c r="I94" s="97">
        <f t="shared" si="29"/>
        <v>1</v>
      </c>
      <c r="J94" s="97">
        <f t="shared" si="29"/>
        <v>1</v>
      </c>
      <c r="K94" s="97">
        <f t="shared" si="29"/>
        <v>1</v>
      </c>
      <c r="L94" s="97">
        <f t="shared" si="29"/>
        <v>1</v>
      </c>
      <c r="M94" s="97">
        <f t="shared" si="29"/>
        <v>1</v>
      </c>
      <c r="N94" s="97">
        <f t="shared" si="29"/>
        <v>1</v>
      </c>
      <c r="O94" s="97">
        <f t="shared" si="29"/>
        <v>1</v>
      </c>
      <c r="P94" s="97">
        <f t="shared" si="29"/>
        <v>1</v>
      </c>
      <c r="Q94" s="97">
        <f t="shared" si="29"/>
        <v>1</v>
      </c>
      <c r="R94" s="97">
        <f t="shared" si="29"/>
        <v>1</v>
      </c>
      <c r="S94" s="97">
        <f t="shared" si="29"/>
        <v>1</v>
      </c>
      <c r="T94" s="97">
        <f t="shared" si="29"/>
        <v>1</v>
      </c>
      <c r="U94" s="97">
        <f t="shared" si="29"/>
        <v>1</v>
      </c>
      <c r="V94" s="97">
        <f t="shared" si="29"/>
        <v>1</v>
      </c>
      <c r="W94" s="97">
        <f t="shared" si="29"/>
        <v>1</v>
      </c>
      <c r="X94" s="97">
        <f t="shared" si="29"/>
        <v>1</v>
      </c>
      <c r="Y94" s="97">
        <f t="shared" si="29"/>
        <v>1</v>
      </c>
      <c r="Z94" s="97">
        <f t="shared" si="29"/>
        <v>1</v>
      </c>
      <c r="AA94" s="97">
        <f t="shared" si="29"/>
        <v>1</v>
      </c>
      <c r="AB94" s="97">
        <f t="shared" si="29"/>
        <v>1</v>
      </c>
      <c r="AC94" s="97">
        <f t="shared" si="29"/>
        <v>1</v>
      </c>
      <c r="AD94" s="97">
        <f t="shared" si="29"/>
        <v>1</v>
      </c>
      <c r="AE94" s="97">
        <f t="shared" si="29"/>
        <v>1</v>
      </c>
    </row>
    <row r="95" spans="3:31" x14ac:dyDescent="0.3">
      <c r="D95" s="138" t="s">
        <v>355</v>
      </c>
      <c r="F95" s="97">
        <f t="shared" ref="F95:Z95" si="30">F76-F91</f>
        <v>-2106.1499999999996</v>
      </c>
      <c r="G95" s="97">
        <f t="shared" si="30"/>
        <v>-2106.1499999999978</v>
      </c>
      <c r="H95" s="97">
        <f t="shared" si="30"/>
        <v>-2106.1499999999996</v>
      </c>
      <c r="I95" s="97">
        <f t="shared" si="30"/>
        <v>-2106.1499999999978</v>
      </c>
      <c r="J95" s="97">
        <f t="shared" si="30"/>
        <v>-2106.1499999999978</v>
      </c>
      <c r="K95" s="97">
        <f t="shared" si="30"/>
        <v>-2106.1499999999996</v>
      </c>
      <c r="L95" s="97">
        <f t="shared" si="30"/>
        <v>-2106.1499999999996</v>
      </c>
      <c r="M95" s="97">
        <f t="shared" si="30"/>
        <v>-2106.1499999999996</v>
      </c>
      <c r="N95" s="97">
        <f t="shared" si="30"/>
        <v>-2106.1500000000015</v>
      </c>
      <c r="O95" s="97">
        <f t="shared" si="30"/>
        <v>-2106.1500000000024</v>
      </c>
      <c r="P95" s="97">
        <f t="shared" si="30"/>
        <v>-2106.1500000000024</v>
      </c>
      <c r="Q95" s="97">
        <f t="shared" si="30"/>
        <v>-2106.1500000000015</v>
      </c>
      <c r="R95" s="97">
        <f t="shared" si="30"/>
        <v>-2106.1500000000024</v>
      </c>
      <c r="S95" s="97">
        <f t="shared" si="30"/>
        <v>-2106.1500000000015</v>
      </c>
      <c r="T95" s="97">
        <f t="shared" si="30"/>
        <v>-2106.150000000001</v>
      </c>
      <c r="U95" s="97">
        <f t="shared" si="30"/>
        <v>-2106.1500000000033</v>
      </c>
      <c r="V95" s="97">
        <f t="shared" si="30"/>
        <v>-2106.1500000000024</v>
      </c>
      <c r="W95" s="97">
        <f t="shared" si="30"/>
        <v>-2106.1500000000033</v>
      </c>
      <c r="X95" s="97">
        <f t="shared" si="30"/>
        <v>-2106.1500000000019</v>
      </c>
      <c r="Y95" s="97">
        <f t="shared" si="30"/>
        <v>-2106.1500000000028</v>
      </c>
      <c r="Z95" s="97">
        <f t="shared" si="30"/>
        <v>-2106.1500000000037</v>
      </c>
      <c r="AA95" s="97">
        <f>AA76-AA91</f>
        <v>-2106.1500000000037</v>
      </c>
      <c r="AB95" s="97">
        <f>AB76-AB91</f>
        <v>-2106.1500000000037</v>
      </c>
      <c r="AC95" s="97">
        <f>AC76-AC91</f>
        <v>-2106.1500000000037</v>
      </c>
      <c r="AD95" s="97">
        <f>AD76-AD91</f>
        <v>-2106.1500000000037</v>
      </c>
      <c r="AE95" s="97">
        <f>AE76-AE91</f>
        <v>-2106.1500000000037</v>
      </c>
    </row>
    <row r="96" spans="3:31" x14ac:dyDescent="0.3">
      <c r="G96" s="41"/>
      <c r="H96" s="41"/>
      <c r="I96" s="41"/>
      <c r="J96" s="41"/>
      <c r="K96" s="41"/>
      <c r="L96" s="41"/>
      <c r="M96" s="41"/>
      <c r="N96" s="41"/>
      <c r="O96" s="41"/>
      <c r="P96" s="41"/>
    </row>
  </sheetData>
  <sheetProtection algorithmName="SHA-512" hashValue="YJOr8oJ+BBguddM5TKDPoKSKmQJ9Jxd4mkecVJe3tg0pTwRtUN/GlfgN/n27vzom5TAHiklkc/4VN3YPqGYHMw==" saltValue="CCKhTw2mgJ8Vj7s3WqgeYQ==" spinCount="100000" sheet="1" objects="1" scenarios="1" selectLockedCells="1"/>
  <mergeCells count="1">
    <mergeCell ref="A1:AE1"/>
  </mergeCells>
  <pageMargins left="0.7" right="0.7" top="0.75" bottom="0.75" header="0.3" footer="0.3"/>
  <pageSetup paperSize="9" scale="33"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1C90A-79C2-4042-828F-AD07DC6C80B5}">
  <sheetPr codeName="Sheet19">
    <tabColor theme="9" tint="0.59999389629810485"/>
    <pageSetUpPr fitToPage="1"/>
  </sheetPr>
  <dimension ref="A1:AV78"/>
  <sheetViews>
    <sheetView showGridLines="0" zoomScale="80" zoomScaleNormal="80" zoomScaleSheetLayoutView="30" zoomScalePageLayoutView="150" workbookViewId="0">
      <selection activeCell="M40" sqref="M40:M44"/>
    </sheetView>
  </sheetViews>
  <sheetFormatPr defaultColWidth="0" defaultRowHeight="14.4" x14ac:dyDescent="0.3"/>
  <cols>
    <col min="1" max="1" width="19" customWidth="1"/>
    <col min="2" max="2" width="3" customWidth="1"/>
    <col min="3" max="3" width="30.44140625" customWidth="1"/>
    <col min="4" max="4" width="12" bestFit="1" customWidth="1"/>
    <col min="5" max="45" width="13.44140625" customWidth="1"/>
    <col min="46" max="48" width="13.44140625" hidden="1" customWidth="1"/>
    <col min="49" max="16384" width="9.44140625" hidden="1"/>
  </cols>
  <sheetData>
    <row r="1" spans="1:45" ht="21" x14ac:dyDescent="0.4">
      <c r="A1" s="959" t="s">
        <v>628</v>
      </c>
      <c r="B1" s="959"/>
      <c r="C1" s="959"/>
      <c r="D1" s="959"/>
      <c r="E1" s="959"/>
      <c r="F1" s="959"/>
      <c r="G1" s="959"/>
      <c r="H1" s="959"/>
      <c r="I1" s="959"/>
      <c r="J1" s="959"/>
      <c r="K1" s="959"/>
      <c r="L1" s="959"/>
      <c r="M1" s="959"/>
      <c r="N1" s="959"/>
      <c r="O1" s="959"/>
      <c r="P1" s="959"/>
      <c r="Q1" s="959"/>
      <c r="R1" s="959"/>
      <c r="S1" s="959"/>
      <c r="T1" s="959"/>
      <c r="U1" s="959"/>
      <c r="V1" s="959"/>
      <c r="W1" s="959"/>
      <c r="X1" s="959"/>
      <c r="Y1" s="959"/>
      <c r="Z1" s="959"/>
      <c r="AA1" s="959"/>
      <c r="AB1" s="959"/>
      <c r="AC1" s="959"/>
      <c r="AD1" s="959"/>
      <c r="AE1" s="959"/>
      <c r="AF1" s="959"/>
      <c r="AG1" s="959"/>
      <c r="AH1" s="959"/>
      <c r="AI1" s="959"/>
      <c r="AJ1" s="959"/>
      <c r="AK1" s="959"/>
      <c r="AL1" s="959"/>
      <c r="AM1" s="959"/>
      <c r="AN1" s="959"/>
      <c r="AO1" s="959"/>
      <c r="AP1" s="959"/>
      <c r="AQ1" s="959"/>
      <c r="AR1" s="959"/>
      <c r="AS1" s="959"/>
    </row>
    <row r="2" spans="1:45" ht="19.5" customHeight="1" x14ac:dyDescent="0.4">
      <c r="A2" s="70" t="str">
        <f>'Fin Inputs'!A2</f>
        <v>Storage Financial Analysis Model</v>
      </c>
      <c r="B2" s="155"/>
    </row>
    <row r="3" spans="1:45" ht="18" x14ac:dyDescent="0.35">
      <c r="A3" s="156"/>
      <c r="B3" s="157"/>
      <c r="C3" s="156"/>
      <c r="D3" s="72"/>
      <c r="E3" s="72"/>
      <c r="F3" s="72"/>
      <c r="G3" s="72"/>
      <c r="H3" s="72"/>
    </row>
    <row r="4" spans="1:45" ht="15.6" x14ac:dyDescent="0.3">
      <c r="A4" s="77" t="str">
        <f>'Fin Inputs'!A4</f>
        <v>all monetary amounts are in nominal USD</v>
      </c>
      <c r="B4" s="158"/>
      <c r="C4" s="72"/>
      <c r="D4" s="72"/>
      <c r="E4" s="72"/>
      <c r="F4" s="72"/>
      <c r="G4" s="72"/>
      <c r="H4" s="72"/>
    </row>
    <row r="5" spans="1:45" x14ac:dyDescent="0.3">
      <c r="B5" s="77"/>
      <c r="C5" s="72"/>
      <c r="D5" s="72"/>
      <c r="E5" s="72"/>
      <c r="F5" s="72"/>
      <c r="G5" s="72"/>
      <c r="H5" s="72"/>
    </row>
    <row r="6" spans="1:45" x14ac:dyDescent="0.3">
      <c r="B6" s="72"/>
      <c r="C6" s="72"/>
      <c r="D6" s="72"/>
      <c r="E6" s="72"/>
      <c r="F6" s="72"/>
      <c r="G6" s="72"/>
      <c r="H6" s="72"/>
    </row>
    <row r="7" spans="1:45" ht="15" thickBot="1" x14ac:dyDescent="0.35">
      <c r="B7" s="81" t="s">
        <v>356</v>
      </c>
      <c r="C7" s="82"/>
      <c r="D7" s="83"/>
      <c r="E7" s="83"/>
      <c r="F7" s="83"/>
      <c r="G7" s="83"/>
      <c r="H7" s="83"/>
      <c r="I7" s="83"/>
      <c r="J7" s="83"/>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row>
    <row r="8" spans="1:45" x14ac:dyDescent="0.3">
      <c r="C8" s="2" t="s">
        <v>171</v>
      </c>
      <c r="F8">
        <v>1</v>
      </c>
      <c r="G8">
        <f>F8+1</f>
        <v>2</v>
      </c>
      <c r="H8">
        <f t="shared" ref="H8:AS8" si="0">G8+1</f>
        <v>3</v>
      </c>
      <c r="I8">
        <f t="shared" si="0"/>
        <v>4</v>
      </c>
      <c r="J8">
        <f t="shared" si="0"/>
        <v>5</v>
      </c>
      <c r="K8">
        <f t="shared" si="0"/>
        <v>6</v>
      </c>
      <c r="L8">
        <f t="shared" si="0"/>
        <v>7</v>
      </c>
      <c r="M8">
        <f t="shared" si="0"/>
        <v>8</v>
      </c>
      <c r="N8">
        <f t="shared" si="0"/>
        <v>9</v>
      </c>
      <c r="O8">
        <f t="shared" si="0"/>
        <v>10</v>
      </c>
      <c r="P8">
        <f t="shared" si="0"/>
        <v>11</v>
      </c>
      <c r="Q8">
        <f t="shared" si="0"/>
        <v>12</v>
      </c>
      <c r="R8">
        <f t="shared" si="0"/>
        <v>13</v>
      </c>
      <c r="S8">
        <f t="shared" si="0"/>
        <v>14</v>
      </c>
      <c r="T8">
        <f t="shared" si="0"/>
        <v>15</v>
      </c>
      <c r="U8">
        <f t="shared" si="0"/>
        <v>16</v>
      </c>
      <c r="V8">
        <f t="shared" si="0"/>
        <v>17</v>
      </c>
      <c r="W8">
        <f t="shared" si="0"/>
        <v>18</v>
      </c>
      <c r="X8">
        <f t="shared" si="0"/>
        <v>19</v>
      </c>
      <c r="Y8">
        <f t="shared" si="0"/>
        <v>20</v>
      </c>
      <c r="Z8">
        <f t="shared" si="0"/>
        <v>21</v>
      </c>
      <c r="AA8">
        <f t="shared" si="0"/>
        <v>22</v>
      </c>
      <c r="AB8">
        <f t="shared" si="0"/>
        <v>23</v>
      </c>
      <c r="AC8">
        <f t="shared" si="0"/>
        <v>24</v>
      </c>
      <c r="AD8">
        <f t="shared" si="0"/>
        <v>25</v>
      </c>
      <c r="AE8">
        <f t="shared" si="0"/>
        <v>26</v>
      </c>
      <c r="AF8">
        <f t="shared" si="0"/>
        <v>27</v>
      </c>
      <c r="AG8">
        <f t="shared" si="0"/>
        <v>28</v>
      </c>
      <c r="AH8">
        <f t="shared" si="0"/>
        <v>29</v>
      </c>
      <c r="AI8">
        <f t="shared" si="0"/>
        <v>30</v>
      </c>
      <c r="AJ8">
        <f t="shared" si="0"/>
        <v>31</v>
      </c>
      <c r="AK8">
        <f t="shared" si="0"/>
        <v>32</v>
      </c>
      <c r="AL8">
        <f t="shared" si="0"/>
        <v>33</v>
      </c>
      <c r="AM8">
        <f t="shared" si="0"/>
        <v>34</v>
      </c>
      <c r="AN8">
        <f t="shared" si="0"/>
        <v>35</v>
      </c>
      <c r="AO8">
        <f t="shared" si="0"/>
        <v>36</v>
      </c>
      <c r="AP8">
        <f t="shared" si="0"/>
        <v>37</v>
      </c>
      <c r="AQ8">
        <f t="shared" si="0"/>
        <v>38</v>
      </c>
      <c r="AR8">
        <f t="shared" si="0"/>
        <v>39</v>
      </c>
      <c r="AS8">
        <f t="shared" si="0"/>
        <v>40</v>
      </c>
    </row>
    <row r="9" spans="1:45" x14ac:dyDescent="0.3">
      <c r="C9" s="125" t="s">
        <v>170</v>
      </c>
      <c r="E9" s="159"/>
      <c r="F9" s="125">
        <f>(F$8&lt;='Fin Inputs'!$F$11)*1</f>
        <v>1</v>
      </c>
      <c r="G9" s="125">
        <f>(G8&lt;='Fin Inputs'!$F$11)*1</f>
        <v>1</v>
      </c>
      <c r="H9" s="125">
        <f>(H8&lt;='Fin Inputs'!$F$11)*1</f>
        <v>1</v>
      </c>
      <c r="I9" s="125">
        <f>(I8&lt;='Fin Inputs'!$F$11)*1</f>
        <v>1</v>
      </c>
      <c r="J9" s="125">
        <f>(J8&lt;='Fin Inputs'!$F$11)*1</f>
        <v>1</v>
      </c>
      <c r="K9" s="125">
        <f>(K8&lt;='Fin Inputs'!$F$11)*1</f>
        <v>1</v>
      </c>
      <c r="L9" s="125">
        <f>(L8&lt;='Fin Inputs'!$F$11)*1</f>
        <v>1</v>
      </c>
      <c r="M9" s="125">
        <f>(M8&lt;='Fin Inputs'!$F$11)*1</f>
        <v>1</v>
      </c>
      <c r="N9" s="125">
        <f>(N8&lt;='Fin Inputs'!$F$11)*1</f>
        <v>1</v>
      </c>
      <c r="O9" s="125">
        <f>(O8&lt;='Fin Inputs'!$F$11)*1</f>
        <v>1</v>
      </c>
      <c r="P9" s="125">
        <f>(P8&lt;='Fin Inputs'!$F$11)*1</f>
        <v>1</v>
      </c>
      <c r="Q9" s="125">
        <f>(Q8&lt;='Fin Inputs'!$F$11)*1</f>
        <v>1</v>
      </c>
      <c r="R9" s="125">
        <f>(R8&lt;='Fin Inputs'!$F$11)*1</f>
        <v>0</v>
      </c>
      <c r="S9" s="125">
        <f>(S8&lt;='Fin Inputs'!$F$11)*1</f>
        <v>0</v>
      </c>
      <c r="T9" s="125">
        <f>(T8&lt;='Fin Inputs'!$F$11)*1</f>
        <v>0</v>
      </c>
      <c r="U9" s="125">
        <f>(U8&lt;='Fin Inputs'!$F$11)*1</f>
        <v>0</v>
      </c>
      <c r="V9" s="125">
        <f>(V8&lt;='Fin Inputs'!$F$11)*1</f>
        <v>0</v>
      </c>
      <c r="W9" s="125">
        <f>(W8&lt;='Fin Inputs'!$F$11)*1</f>
        <v>0</v>
      </c>
      <c r="X9" s="125">
        <f>(X8&lt;='Fin Inputs'!$F$11)*1</f>
        <v>0</v>
      </c>
      <c r="Y9" s="125">
        <f>(Y8&lt;='Fin Inputs'!$F$11)*1</f>
        <v>0</v>
      </c>
      <c r="Z9" s="125">
        <f>(Z8&lt;='Fin Inputs'!$F$11)*1</f>
        <v>0</v>
      </c>
      <c r="AA9" s="125">
        <f>(AA8&lt;='Fin Inputs'!$F$11)*1</f>
        <v>0</v>
      </c>
      <c r="AB9" s="125">
        <f>(AB8&lt;='Fin Inputs'!$F$11)*1</f>
        <v>0</v>
      </c>
      <c r="AC9" s="125">
        <f>(AC8&lt;='Fin Inputs'!$F$11)*1</f>
        <v>0</v>
      </c>
      <c r="AD9" s="125">
        <f>(AD8&lt;='Fin Inputs'!$F$11)*1</f>
        <v>0</v>
      </c>
      <c r="AE9" s="125">
        <f>(AE8&lt;='Fin Inputs'!$F$11)*1</f>
        <v>0</v>
      </c>
      <c r="AF9" s="125">
        <f>(AF8&lt;='Fin Inputs'!$F$11)*1</f>
        <v>0</v>
      </c>
      <c r="AG9" s="125">
        <f>(AG8&lt;='Fin Inputs'!$F$11)*1</f>
        <v>0</v>
      </c>
      <c r="AH9" s="125">
        <f>(AH8&lt;='Fin Inputs'!$F$11)*1</f>
        <v>0</v>
      </c>
      <c r="AI9" s="125">
        <f>(AI8&lt;='Fin Inputs'!$F$11)*1</f>
        <v>0</v>
      </c>
      <c r="AJ9" s="125">
        <f>(AJ8&lt;='Fin Inputs'!$F$11)*1</f>
        <v>0</v>
      </c>
      <c r="AK9" s="125">
        <f>(AK8&lt;='Fin Inputs'!$F$11)*1</f>
        <v>0</v>
      </c>
      <c r="AL9" s="125">
        <f>(AL8&lt;='Fin Inputs'!$F$11)*1</f>
        <v>0</v>
      </c>
      <c r="AM9" s="125">
        <f>(AM8&lt;='Fin Inputs'!$F$11)*1</f>
        <v>0</v>
      </c>
      <c r="AN9" s="125">
        <f>(AN8&lt;='Fin Inputs'!$F$11)*1</f>
        <v>0</v>
      </c>
      <c r="AO9" s="125">
        <f>(AO8&lt;='Fin Inputs'!$F$11)*1</f>
        <v>0</v>
      </c>
      <c r="AP9" s="125">
        <f>(AP8&lt;='Fin Inputs'!$F$11)*1</f>
        <v>0</v>
      </c>
      <c r="AQ9" s="125">
        <f>(AQ8&lt;='Fin Inputs'!$F$11)*1</f>
        <v>0</v>
      </c>
      <c r="AR9" s="125">
        <f>(AR8&lt;='Fin Inputs'!$F$11)*1</f>
        <v>0</v>
      </c>
      <c r="AS9" s="125">
        <f>(AS8&lt;='Fin Inputs'!$F$11)*1</f>
        <v>0</v>
      </c>
    </row>
    <row r="10" spans="1:45" x14ac:dyDescent="0.3">
      <c r="C10" s="125" t="s">
        <v>357</v>
      </c>
      <c r="E10" s="159"/>
      <c r="F10" s="125">
        <f>(F$8='Fin Inputs'!$F$11)*1</f>
        <v>0</v>
      </c>
      <c r="G10" s="125">
        <f>(G$8='Fin Inputs'!$F$11)*1</f>
        <v>0</v>
      </c>
      <c r="H10" s="125">
        <f>(H$8='Fin Inputs'!$F$11)*1</f>
        <v>0</v>
      </c>
      <c r="I10" s="125">
        <f>(I$8='Fin Inputs'!$F$11)*1</f>
        <v>0</v>
      </c>
      <c r="J10" s="125">
        <f>(J$8='Fin Inputs'!$F$11)*1</f>
        <v>0</v>
      </c>
      <c r="K10" s="125">
        <f>(K$8='Fin Inputs'!$F$11)*1</f>
        <v>0</v>
      </c>
      <c r="L10" s="125">
        <f>(L$8='Fin Inputs'!$F$11)*1</f>
        <v>0</v>
      </c>
      <c r="M10" s="125">
        <f>(M$8='Fin Inputs'!$F$11)*1</f>
        <v>0</v>
      </c>
      <c r="N10" s="125">
        <f>(N$8='Fin Inputs'!$F$11)*1</f>
        <v>0</v>
      </c>
      <c r="O10" s="125">
        <f>(O$8='Fin Inputs'!$F$11)*1</f>
        <v>0</v>
      </c>
      <c r="P10" s="125">
        <f>(P$8='Fin Inputs'!$F$11)*1</f>
        <v>0</v>
      </c>
      <c r="Q10" s="125">
        <f>(Q$8='Fin Inputs'!$F$11)*1</f>
        <v>1</v>
      </c>
      <c r="R10" s="125">
        <f>(R$8='Fin Inputs'!$F$11)*1</f>
        <v>0</v>
      </c>
      <c r="S10" s="125">
        <f>(S$8='Fin Inputs'!$F$11)*1</f>
        <v>0</v>
      </c>
      <c r="T10" s="125">
        <f>(T$8='Fin Inputs'!$F$11)*1</f>
        <v>0</v>
      </c>
      <c r="U10" s="125">
        <f>(U$8='Fin Inputs'!$F$11)*1</f>
        <v>0</v>
      </c>
      <c r="V10" s="125">
        <f>(V$8='Fin Inputs'!$F$11)*1</f>
        <v>0</v>
      </c>
      <c r="W10" s="125">
        <f>(W$8='Fin Inputs'!$F$11)*1</f>
        <v>0</v>
      </c>
      <c r="X10" s="125">
        <f>(X$8='Fin Inputs'!$F$11)*1</f>
        <v>0</v>
      </c>
      <c r="Y10" s="125">
        <f>(Y$8='Fin Inputs'!$F$11)*1</f>
        <v>0</v>
      </c>
      <c r="Z10" s="125">
        <f>(Z$8='Fin Inputs'!$F$11)*1</f>
        <v>0</v>
      </c>
      <c r="AA10" s="125">
        <f>(AA$8='Fin Inputs'!$F$11)*1</f>
        <v>0</v>
      </c>
      <c r="AB10" s="125">
        <f>(AB$8='Fin Inputs'!$F$11)*1</f>
        <v>0</v>
      </c>
      <c r="AC10" s="125">
        <f>(AC$8='Fin Inputs'!$F$11)*1</f>
        <v>0</v>
      </c>
      <c r="AD10" s="125">
        <f>(AD$8='Fin Inputs'!$F$11)*1</f>
        <v>0</v>
      </c>
      <c r="AE10" s="125">
        <f>(AE$8='Fin Inputs'!$F$11)*1</f>
        <v>0</v>
      </c>
      <c r="AF10" s="125">
        <f>(AF$8='Fin Inputs'!$F$11)*1</f>
        <v>0</v>
      </c>
      <c r="AG10" s="125">
        <f>(AG$8='Fin Inputs'!$F$11)*1</f>
        <v>0</v>
      </c>
      <c r="AH10" s="125">
        <f>(AH$8='Fin Inputs'!$F$11)*1</f>
        <v>0</v>
      </c>
      <c r="AI10" s="125">
        <f>(AI$8='Fin Inputs'!$F$11)*1</f>
        <v>0</v>
      </c>
      <c r="AJ10" s="125">
        <f>(AJ$8='Fin Inputs'!$F$11)*1</f>
        <v>0</v>
      </c>
      <c r="AK10" s="125">
        <f>(AK$8='Fin Inputs'!$F$11)*1</f>
        <v>0</v>
      </c>
      <c r="AL10" s="125">
        <f>(AL$8='Fin Inputs'!$F$11)*1</f>
        <v>0</v>
      </c>
      <c r="AM10" s="125">
        <f>(AM$8='Fin Inputs'!$F$11)*1</f>
        <v>0</v>
      </c>
      <c r="AN10" s="125">
        <f>(AN$8='Fin Inputs'!$F$11)*1</f>
        <v>0</v>
      </c>
      <c r="AO10" s="125">
        <f>(AO$8='Fin Inputs'!$F$11)*1</f>
        <v>0</v>
      </c>
      <c r="AP10" s="125">
        <f>(AP$8='Fin Inputs'!$F$11)*1</f>
        <v>0</v>
      </c>
      <c r="AQ10" s="125">
        <f>(AQ$8='Fin Inputs'!$F$11)*1</f>
        <v>0</v>
      </c>
      <c r="AR10" s="125">
        <f>(AR$8='Fin Inputs'!$F$11)*1</f>
        <v>0</v>
      </c>
      <c r="AS10" s="125">
        <f>(AS$8='Fin Inputs'!$F$11)*1</f>
        <v>0</v>
      </c>
    </row>
    <row r="11" spans="1:45" x14ac:dyDescent="0.3">
      <c r="C11" s="125" t="s">
        <v>358</v>
      </c>
      <c r="E11" s="159"/>
      <c r="F11" s="80">
        <f>'Fin Inputs'!$F$10</f>
        <v>46388</v>
      </c>
      <c r="G11" s="80">
        <f>EDATE(F11,1)</f>
        <v>46419</v>
      </c>
      <c r="H11" s="80">
        <f t="shared" ref="H11:AS11" si="1">EDATE(G11,1)</f>
        <v>46447</v>
      </c>
      <c r="I11" s="80">
        <f t="shared" si="1"/>
        <v>46478</v>
      </c>
      <c r="J11" s="80">
        <f t="shared" si="1"/>
        <v>46508</v>
      </c>
      <c r="K11" s="80">
        <f t="shared" si="1"/>
        <v>46539</v>
      </c>
      <c r="L11" s="80">
        <f t="shared" si="1"/>
        <v>46569</v>
      </c>
      <c r="M11" s="80">
        <f t="shared" si="1"/>
        <v>46600</v>
      </c>
      <c r="N11" s="80">
        <f t="shared" si="1"/>
        <v>46631</v>
      </c>
      <c r="O11" s="80">
        <f t="shared" si="1"/>
        <v>46661</v>
      </c>
      <c r="P11" s="80">
        <f t="shared" si="1"/>
        <v>46692</v>
      </c>
      <c r="Q11" s="80">
        <f t="shared" si="1"/>
        <v>46722</v>
      </c>
      <c r="R11" s="80">
        <f t="shared" si="1"/>
        <v>46753</v>
      </c>
      <c r="S11" s="80">
        <f t="shared" si="1"/>
        <v>46784</v>
      </c>
      <c r="T11" s="80">
        <f t="shared" si="1"/>
        <v>46813</v>
      </c>
      <c r="U11" s="80">
        <f t="shared" si="1"/>
        <v>46844</v>
      </c>
      <c r="V11" s="80">
        <f t="shared" si="1"/>
        <v>46874</v>
      </c>
      <c r="W11" s="80">
        <f t="shared" si="1"/>
        <v>46905</v>
      </c>
      <c r="X11" s="80">
        <f t="shared" si="1"/>
        <v>46935</v>
      </c>
      <c r="Y11" s="80">
        <f t="shared" si="1"/>
        <v>46966</v>
      </c>
      <c r="Z11" s="80">
        <f t="shared" si="1"/>
        <v>46997</v>
      </c>
      <c r="AA11" s="80">
        <f t="shared" si="1"/>
        <v>47027</v>
      </c>
      <c r="AB11" s="80">
        <f t="shared" si="1"/>
        <v>47058</v>
      </c>
      <c r="AC11" s="80">
        <f t="shared" si="1"/>
        <v>47088</v>
      </c>
      <c r="AD11" s="80">
        <f t="shared" si="1"/>
        <v>47119</v>
      </c>
      <c r="AE11" s="80">
        <f t="shared" si="1"/>
        <v>47150</v>
      </c>
      <c r="AF11" s="80">
        <f t="shared" si="1"/>
        <v>47178</v>
      </c>
      <c r="AG11" s="80">
        <f t="shared" si="1"/>
        <v>47209</v>
      </c>
      <c r="AH11" s="80">
        <f t="shared" si="1"/>
        <v>47239</v>
      </c>
      <c r="AI11" s="80">
        <f t="shared" si="1"/>
        <v>47270</v>
      </c>
      <c r="AJ11" s="80">
        <f t="shared" si="1"/>
        <v>47300</v>
      </c>
      <c r="AK11" s="80">
        <f t="shared" si="1"/>
        <v>47331</v>
      </c>
      <c r="AL11" s="80">
        <f t="shared" si="1"/>
        <v>47362</v>
      </c>
      <c r="AM11" s="80">
        <f t="shared" si="1"/>
        <v>47392</v>
      </c>
      <c r="AN11" s="80">
        <f t="shared" si="1"/>
        <v>47423</v>
      </c>
      <c r="AO11" s="80">
        <f t="shared" si="1"/>
        <v>47453</v>
      </c>
      <c r="AP11" s="80">
        <f t="shared" si="1"/>
        <v>47484</v>
      </c>
      <c r="AQ11" s="80">
        <f t="shared" si="1"/>
        <v>47515</v>
      </c>
      <c r="AR11" s="80">
        <f t="shared" si="1"/>
        <v>47543</v>
      </c>
      <c r="AS11" s="80">
        <f t="shared" si="1"/>
        <v>47574</v>
      </c>
    </row>
    <row r="12" spans="1:45" x14ac:dyDescent="0.3">
      <c r="C12" s="125" t="s">
        <v>33</v>
      </c>
      <c r="E12" s="159"/>
      <c r="F12" s="125">
        <f>YEAR(F11)</f>
        <v>2027</v>
      </c>
      <c r="G12" s="125">
        <f t="shared" ref="G12:AS12" si="2">YEAR(G11)</f>
        <v>2027</v>
      </c>
      <c r="H12" s="125">
        <f t="shared" si="2"/>
        <v>2027</v>
      </c>
      <c r="I12" s="125">
        <f t="shared" si="2"/>
        <v>2027</v>
      </c>
      <c r="J12" s="125">
        <f t="shared" si="2"/>
        <v>2027</v>
      </c>
      <c r="K12" s="125">
        <f t="shared" si="2"/>
        <v>2027</v>
      </c>
      <c r="L12" s="125">
        <f t="shared" si="2"/>
        <v>2027</v>
      </c>
      <c r="M12" s="125">
        <f t="shared" si="2"/>
        <v>2027</v>
      </c>
      <c r="N12" s="125">
        <f t="shared" si="2"/>
        <v>2027</v>
      </c>
      <c r="O12" s="125">
        <f t="shared" si="2"/>
        <v>2027</v>
      </c>
      <c r="P12" s="125">
        <f t="shared" si="2"/>
        <v>2027</v>
      </c>
      <c r="Q12" s="125">
        <f t="shared" si="2"/>
        <v>2027</v>
      </c>
      <c r="R12" s="125">
        <f t="shared" si="2"/>
        <v>2028</v>
      </c>
      <c r="S12" s="125">
        <f t="shared" si="2"/>
        <v>2028</v>
      </c>
      <c r="T12" s="125">
        <f t="shared" si="2"/>
        <v>2028</v>
      </c>
      <c r="U12" s="125">
        <f t="shared" si="2"/>
        <v>2028</v>
      </c>
      <c r="V12" s="125">
        <f t="shared" si="2"/>
        <v>2028</v>
      </c>
      <c r="W12" s="125">
        <f t="shared" si="2"/>
        <v>2028</v>
      </c>
      <c r="X12" s="125">
        <f t="shared" si="2"/>
        <v>2028</v>
      </c>
      <c r="Y12" s="125">
        <f t="shared" si="2"/>
        <v>2028</v>
      </c>
      <c r="Z12" s="125">
        <f t="shared" si="2"/>
        <v>2028</v>
      </c>
      <c r="AA12" s="125">
        <f t="shared" si="2"/>
        <v>2028</v>
      </c>
      <c r="AB12" s="125">
        <f t="shared" si="2"/>
        <v>2028</v>
      </c>
      <c r="AC12" s="125">
        <f t="shared" si="2"/>
        <v>2028</v>
      </c>
      <c r="AD12" s="125">
        <f t="shared" si="2"/>
        <v>2029</v>
      </c>
      <c r="AE12" s="125">
        <f t="shared" si="2"/>
        <v>2029</v>
      </c>
      <c r="AF12" s="125">
        <f t="shared" si="2"/>
        <v>2029</v>
      </c>
      <c r="AG12" s="125">
        <f t="shared" si="2"/>
        <v>2029</v>
      </c>
      <c r="AH12" s="125">
        <f t="shared" si="2"/>
        <v>2029</v>
      </c>
      <c r="AI12" s="125">
        <f t="shared" si="2"/>
        <v>2029</v>
      </c>
      <c r="AJ12" s="125">
        <f t="shared" si="2"/>
        <v>2029</v>
      </c>
      <c r="AK12" s="125">
        <f t="shared" si="2"/>
        <v>2029</v>
      </c>
      <c r="AL12" s="125">
        <f t="shared" si="2"/>
        <v>2029</v>
      </c>
      <c r="AM12" s="125">
        <f t="shared" si="2"/>
        <v>2029</v>
      </c>
      <c r="AN12" s="125">
        <f t="shared" si="2"/>
        <v>2029</v>
      </c>
      <c r="AO12" s="125">
        <f t="shared" si="2"/>
        <v>2029</v>
      </c>
      <c r="AP12" s="125">
        <f t="shared" si="2"/>
        <v>2030</v>
      </c>
      <c r="AQ12" s="125">
        <f t="shared" si="2"/>
        <v>2030</v>
      </c>
      <c r="AR12" s="125">
        <f t="shared" si="2"/>
        <v>2030</v>
      </c>
      <c r="AS12" s="125">
        <f t="shared" si="2"/>
        <v>2030</v>
      </c>
    </row>
    <row r="14" spans="1:45" x14ac:dyDescent="0.3">
      <c r="C14" t="s">
        <v>359</v>
      </c>
      <c r="E14" s="160">
        <f>SUM(F14:AS14)</f>
        <v>1</v>
      </c>
      <c r="F14" s="281">
        <f>(1/'Fin Inputs'!$F$11)*F$9</f>
        <v>8.3333333333333329E-2</v>
      </c>
      <c r="G14" s="281">
        <f>(1/'Fin Inputs'!$F$11)*G$9</f>
        <v>8.3333333333333329E-2</v>
      </c>
      <c r="H14" s="281">
        <f>(1/'Fin Inputs'!$F$11)*H$9</f>
        <v>8.3333333333333329E-2</v>
      </c>
      <c r="I14" s="281">
        <f>(1/'Fin Inputs'!$F$11)*I$9</f>
        <v>8.3333333333333329E-2</v>
      </c>
      <c r="J14" s="281">
        <f>(1/'Fin Inputs'!$F$11)*J$9</f>
        <v>8.3333333333333329E-2</v>
      </c>
      <c r="K14" s="281">
        <f>(1/'Fin Inputs'!$F$11)*K$9</f>
        <v>8.3333333333333329E-2</v>
      </c>
      <c r="L14" s="281">
        <f>(1/'Fin Inputs'!$F$11)*L$9</f>
        <v>8.3333333333333329E-2</v>
      </c>
      <c r="M14" s="281">
        <f>(1/'Fin Inputs'!$F$11)*M$9</f>
        <v>8.3333333333333329E-2</v>
      </c>
      <c r="N14" s="281">
        <f>(1/'Fin Inputs'!$F$11)*N$9</f>
        <v>8.3333333333333329E-2</v>
      </c>
      <c r="O14" s="281">
        <f>(1/'Fin Inputs'!$F$11)*O$9</f>
        <v>8.3333333333333329E-2</v>
      </c>
      <c r="P14" s="281">
        <f>(1/'Fin Inputs'!$F$11)*P$9</f>
        <v>8.3333333333333329E-2</v>
      </c>
      <c r="Q14" s="281">
        <f>(1/'Fin Inputs'!$F$11)*Q$9</f>
        <v>8.3333333333333329E-2</v>
      </c>
      <c r="R14" s="281">
        <f>(1/'Fin Inputs'!$F$11)*R$9</f>
        <v>0</v>
      </c>
      <c r="S14" s="281">
        <f>(1/'Fin Inputs'!$F$11)*S$9</f>
        <v>0</v>
      </c>
      <c r="T14" s="281">
        <f>(1/'Fin Inputs'!$F$11)*T$9</f>
        <v>0</v>
      </c>
      <c r="U14" s="281">
        <f>(1/'Fin Inputs'!$F$11)*U$9</f>
        <v>0</v>
      </c>
      <c r="V14" s="281">
        <f>(1/'Fin Inputs'!$F$11)*V$9</f>
        <v>0</v>
      </c>
      <c r="W14" s="281">
        <f>(1/'Fin Inputs'!$F$11)*W$9</f>
        <v>0</v>
      </c>
      <c r="X14" s="281">
        <f>(1/'Fin Inputs'!$F$11)*X$9</f>
        <v>0</v>
      </c>
      <c r="Y14" s="281">
        <f>(1/'Fin Inputs'!$F$11)*Y$9</f>
        <v>0</v>
      </c>
      <c r="Z14" s="281">
        <f>(1/'Fin Inputs'!$F$11)*Z$9</f>
        <v>0</v>
      </c>
      <c r="AA14" s="281">
        <f>(1/'Fin Inputs'!$F$11)*AA$9</f>
        <v>0</v>
      </c>
      <c r="AB14" s="281">
        <f>(1/'Fin Inputs'!$F$11)*AB$9</f>
        <v>0</v>
      </c>
      <c r="AC14" s="281">
        <f>(1/'Fin Inputs'!$F$11)*AC$9</f>
        <v>0</v>
      </c>
      <c r="AD14" s="281">
        <f>(1/'Fin Inputs'!$F$11)*AD$9</f>
        <v>0</v>
      </c>
      <c r="AE14" s="281">
        <f>(1/'Fin Inputs'!$F$11)*AE$9</f>
        <v>0</v>
      </c>
      <c r="AF14" s="281">
        <f>(1/'Fin Inputs'!$F$11)*AF$9</f>
        <v>0</v>
      </c>
      <c r="AG14" s="281">
        <f>(1/'Fin Inputs'!$F$11)*AG$9</f>
        <v>0</v>
      </c>
      <c r="AH14" s="281">
        <f>(1/'Fin Inputs'!$F$11)*AH$9</f>
        <v>0</v>
      </c>
      <c r="AI14" s="281">
        <f>(1/'Fin Inputs'!$F$11)*AI$9</f>
        <v>0</v>
      </c>
      <c r="AJ14" s="281">
        <f>(1/'Fin Inputs'!$F$11)*AJ$9</f>
        <v>0</v>
      </c>
      <c r="AK14" s="281">
        <f>(1/'Fin Inputs'!$F$11)*AK$9</f>
        <v>0</v>
      </c>
      <c r="AL14" s="281">
        <f>(1/'Fin Inputs'!$F$11)*AL$9</f>
        <v>0</v>
      </c>
      <c r="AM14" s="281">
        <f>(1/'Fin Inputs'!$F$11)*AM$9</f>
        <v>0</v>
      </c>
      <c r="AN14" s="281">
        <f>(1/'Fin Inputs'!$F$11)*AN$9</f>
        <v>0</v>
      </c>
      <c r="AO14" s="281">
        <f>(1/'Fin Inputs'!$F$11)*AO$9</f>
        <v>0</v>
      </c>
      <c r="AP14" s="281">
        <f>(1/'Fin Inputs'!$F$11)*AP$9</f>
        <v>0</v>
      </c>
      <c r="AQ14" s="281">
        <f>(1/'Fin Inputs'!$F$11)*AQ$9</f>
        <v>0</v>
      </c>
      <c r="AR14" s="281">
        <f>(1/'Fin Inputs'!$F$11)*AR$9</f>
        <v>0</v>
      </c>
      <c r="AS14" s="281">
        <f>(1/'Fin Inputs'!$F$11)*AS$9</f>
        <v>0</v>
      </c>
    </row>
    <row r="15" spans="1:45" x14ac:dyDescent="0.3">
      <c r="C15" t="s">
        <v>360</v>
      </c>
      <c r="E15" s="160">
        <f>SUM(F15:AS15)</f>
        <v>1</v>
      </c>
      <c r="F15" s="281">
        <f>(1/'Fin Inputs'!$F$11)*F$9</f>
        <v>8.3333333333333329E-2</v>
      </c>
      <c r="G15" s="281">
        <f>(1/'Fin Inputs'!$F$11)*G$9</f>
        <v>8.3333333333333329E-2</v>
      </c>
      <c r="H15" s="281">
        <f>(1/'Fin Inputs'!$F$11)*H$9</f>
        <v>8.3333333333333329E-2</v>
      </c>
      <c r="I15" s="281">
        <f>(1/'Fin Inputs'!$F$11)*I$9</f>
        <v>8.3333333333333329E-2</v>
      </c>
      <c r="J15" s="281">
        <f>(1/'Fin Inputs'!$F$11)*J$9</f>
        <v>8.3333333333333329E-2</v>
      </c>
      <c r="K15" s="281">
        <f>(1/'Fin Inputs'!$F$11)*K$9</f>
        <v>8.3333333333333329E-2</v>
      </c>
      <c r="L15" s="281">
        <f>(1/'Fin Inputs'!$F$11)*L$9</f>
        <v>8.3333333333333329E-2</v>
      </c>
      <c r="M15" s="281">
        <f>(1/'Fin Inputs'!$F$11)*M$9</f>
        <v>8.3333333333333329E-2</v>
      </c>
      <c r="N15" s="281">
        <f>(1/'Fin Inputs'!$F$11)*N$9</f>
        <v>8.3333333333333329E-2</v>
      </c>
      <c r="O15" s="281">
        <f>(1/'Fin Inputs'!$F$11)*O$9</f>
        <v>8.3333333333333329E-2</v>
      </c>
      <c r="P15" s="281">
        <f>(1/'Fin Inputs'!$F$11)*P$9</f>
        <v>8.3333333333333329E-2</v>
      </c>
      <c r="Q15" s="281">
        <f>(1/'Fin Inputs'!$F$11)*Q$9</f>
        <v>8.3333333333333329E-2</v>
      </c>
      <c r="R15" s="281">
        <f>(1/'Fin Inputs'!$F$11)*R$9</f>
        <v>0</v>
      </c>
      <c r="S15" s="281">
        <f>(1/'Fin Inputs'!$F$11)*S$9</f>
        <v>0</v>
      </c>
      <c r="T15" s="281">
        <f>(1/'Fin Inputs'!$F$11)*T$9</f>
        <v>0</v>
      </c>
      <c r="U15" s="281">
        <f>(1/'Fin Inputs'!$F$11)*U$9</f>
        <v>0</v>
      </c>
      <c r="V15" s="281">
        <f>(1/'Fin Inputs'!$F$11)*V$9</f>
        <v>0</v>
      </c>
      <c r="W15" s="281">
        <f>(1/'Fin Inputs'!$F$11)*W$9</f>
        <v>0</v>
      </c>
      <c r="X15" s="281">
        <f>(1/'Fin Inputs'!$F$11)*X$9</f>
        <v>0</v>
      </c>
      <c r="Y15" s="281">
        <f>(1/'Fin Inputs'!$F$11)*Y$9</f>
        <v>0</v>
      </c>
      <c r="Z15" s="281">
        <f>(1/'Fin Inputs'!$F$11)*Z$9</f>
        <v>0</v>
      </c>
      <c r="AA15" s="281">
        <f>(1/'Fin Inputs'!$F$11)*AA$9</f>
        <v>0</v>
      </c>
      <c r="AB15" s="281">
        <f>(1/'Fin Inputs'!$F$11)*AB$9</f>
        <v>0</v>
      </c>
      <c r="AC15" s="281">
        <f>(1/'Fin Inputs'!$F$11)*AC$9</f>
        <v>0</v>
      </c>
      <c r="AD15" s="281">
        <f>(1/'Fin Inputs'!$F$11)*AD$9</f>
        <v>0</v>
      </c>
      <c r="AE15" s="281">
        <f>(1/'Fin Inputs'!$F$11)*AE$9</f>
        <v>0</v>
      </c>
      <c r="AF15" s="281">
        <f>(1/'Fin Inputs'!$F$11)*AF$9</f>
        <v>0</v>
      </c>
      <c r="AG15" s="281">
        <f>(1/'Fin Inputs'!$F$11)*AG$9</f>
        <v>0</v>
      </c>
      <c r="AH15" s="281">
        <f>(1/'Fin Inputs'!$F$11)*AH$9</f>
        <v>0</v>
      </c>
      <c r="AI15" s="281">
        <f>(1/'Fin Inputs'!$F$11)*AI$9</f>
        <v>0</v>
      </c>
      <c r="AJ15" s="281">
        <f>(1/'Fin Inputs'!$F$11)*AJ$9</f>
        <v>0</v>
      </c>
      <c r="AK15" s="281">
        <f>(1/'Fin Inputs'!$F$11)*AK$9</f>
        <v>0</v>
      </c>
      <c r="AL15" s="281">
        <f>(1/'Fin Inputs'!$F$11)*AL$9</f>
        <v>0</v>
      </c>
      <c r="AM15" s="281">
        <f>(1/'Fin Inputs'!$F$11)*AM$9</f>
        <v>0</v>
      </c>
      <c r="AN15" s="281">
        <f>(1/'Fin Inputs'!$F$11)*AN$9</f>
        <v>0</v>
      </c>
      <c r="AO15" s="281">
        <f>(1/'Fin Inputs'!$F$11)*AO$9</f>
        <v>0</v>
      </c>
      <c r="AP15" s="281">
        <f>(1/'Fin Inputs'!$F$11)*AP$9</f>
        <v>0</v>
      </c>
      <c r="AQ15" s="281">
        <f>(1/'Fin Inputs'!$F$11)*AQ$9</f>
        <v>0</v>
      </c>
      <c r="AR15" s="281">
        <f>(1/'Fin Inputs'!$F$11)*AR$9</f>
        <v>0</v>
      </c>
      <c r="AS15" s="281">
        <f>(1/'Fin Inputs'!$F$11)*AS$9</f>
        <v>0</v>
      </c>
    </row>
    <row r="17" spans="3:45" x14ac:dyDescent="0.3">
      <c r="C17" s="2" t="s">
        <v>361</v>
      </c>
    </row>
    <row r="18" spans="3:45" x14ac:dyDescent="0.3">
      <c r="C18" t="s">
        <v>108</v>
      </c>
      <c r="E18" s="161">
        <f>SUM(F18:AS18)</f>
        <v>14041.000000000002</v>
      </c>
      <c r="F18" s="162">
        <f>F$14*'Fin Inputs'!$M$20</f>
        <v>1170.0833333333333</v>
      </c>
      <c r="G18" s="162">
        <f>G$14*'Fin Inputs'!$M$20</f>
        <v>1170.0833333333333</v>
      </c>
      <c r="H18" s="162">
        <f>H$14*'Fin Inputs'!$M$20</f>
        <v>1170.0833333333333</v>
      </c>
      <c r="I18" s="162">
        <f>I$14*'Fin Inputs'!$M$20</f>
        <v>1170.0833333333333</v>
      </c>
      <c r="J18" s="162">
        <f>J$14*'Fin Inputs'!$M$20</f>
        <v>1170.0833333333333</v>
      </c>
      <c r="K18" s="162">
        <f>K$14*'Fin Inputs'!$M$20</f>
        <v>1170.0833333333333</v>
      </c>
      <c r="L18" s="162">
        <f>L$14*'Fin Inputs'!$M$20</f>
        <v>1170.0833333333333</v>
      </c>
      <c r="M18" s="162">
        <f>M$14*'Fin Inputs'!$M$20</f>
        <v>1170.0833333333333</v>
      </c>
      <c r="N18" s="162">
        <f>N$14*'Fin Inputs'!$M$20</f>
        <v>1170.0833333333333</v>
      </c>
      <c r="O18" s="162">
        <f>O$14*'Fin Inputs'!$M$20</f>
        <v>1170.0833333333333</v>
      </c>
      <c r="P18" s="162">
        <f>P$14*'Fin Inputs'!$M$20</f>
        <v>1170.0833333333333</v>
      </c>
      <c r="Q18" s="162">
        <f>Q$14*'Fin Inputs'!$M$20</f>
        <v>1170.0833333333333</v>
      </c>
      <c r="R18" s="162">
        <f>R$14*'Fin Inputs'!$M$20</f>
        <v>0</v>
      </c>
      <c r="S18" s="162">
        <f>S$14*'Fin Inputs'!$M$20</f>
        <v>0</v>
      </c>
      <c r="T18" s="162">
        <f>T$14*'Fin Inputs'!$M$20</f>
        <v>0</v>
      </c>
      <c r="U18" s="162">
        <f>U$14*'Fin Inputs'!$M$20</f>
        <v>0</v>
      </c>
      <c r="V18" s="162">
        <f>V$14*'Fin Inputs'!$M$20</f>
        <v>0</v>
      </c>
      <c r="W18" s="162">
        <f>W$14*'Fin Inputs'!$M$20</f>
        <v>0</v>
      </c>
      <c r="X18" s="162">
        <f>X$14*'Fin Inputs'!$M$20</f>
        <v>0</v>
      </c>
      <c r="Y18" s="162">
        <f>Y$14*'Fin Inputs'!$M$20</f>
        <v>0</v>
      </c>
      <c r="Z18" s="162">
        <f>Z$14*'Fin Inputs'!$M$20</f>
        <v>0</v>
      </c>
      <c r="AA18" s="162">
        <f>AA$14*'Fin Inputs'!$M$20</f>
        <v>0</v>
      </c>
      <c r="AB18" s="162">
        <f>AB$14*'Fin Inputs'!$M$20</f>
        <v>0</v>
      </c>
      <c r="AC18" s="162">
        <f>AC$14*'Fin Inputs'!$M$20</f>
        <v>0</v>
      </c>
      <c r="AD18" s="162">
        <f>AD$14*'Fin Inputs'!$M$20</f>
        <v>0</v>
      </c>
      <c r="AE18" s="162">
        <f>AE$14*'Fin Inputs'!$M$20</f>
        <v>0</v>
      </c>
      <c r="AF18" s="162">
        <f>AF$14*'Fin Inputs'!$M$20</f>
        <v>0</v>
      </c>
      <c r="AG18" s="162">
        <f>AG$14*'Fin Inputs'!$M$20</f>
        <v>0</v>
      </c>
      <c r="AH18" s="162">
        <f>AH$14*'Fin Inputs'!$M$20</f>
        <v>0</v>
      </c>
      <c r="AI18" s="162">
        <f>AI$14*'Fin Inputs'!$M$20</f>
        <v>0</v>
      </c>
      <c r="AJ18" s="162">
        <f>AJ$14*'Fin Inputs'!$M$20</f>
        <v>0</v>
      </c>
      <c r="AK18" s="162">
        <f>AK$14*'Fin Inputs'!$M$20</f>
        <v>0</v>
      </c>
      <c r="AL18" s="162">
        <f>AL$14*'Fin Inputs'!$M$20</f>
        <v>0</v>
      </c>
      <c r="AM18" s="162">
        <f>AM$14*'Fin Inputs'!$M$20</f>
        <v>0</v>
      </c>
      <c r="AN18" s="162">
        <f>AN$14*'Fin Inputs'!$M$20</f>
        <v>0</v>
      </c>
      <c r="AO18" s="162">
        <f>AO$14*'Fin Inputs'!$M$20</f>
        <v>0</v>
      </c>
      <c r="AP18" s="162">
        <f>AP$14*'Fin Inputs'!$M$20</f>
        <v>0</v>
      </c>
      <c r="AQ18" s="162">
        <f>AQ$14*'Fin Inputs'!$M$20</f>
        <v>0</v>
      </c>
      <c r="AR18" s="162">
        <f>AR$14*'Fin Inputs'!$M$20</f>
        <v>0</v>
      </c>
      <c r="AS18" s="162">
        <f>AS$14*'Fin Inputs'!$M$20</f>
        <v>0</v>
      </c>
    </row>
    <row r="19" spans="3:45" x14ac:dyDescent="0.3">
      <c r="C19" t="s">
        <v>362</v>
      </c>
      <c r="E19" s="161">
        <f t="shared" ref="E19:E23" si="3">SUM(F19:AS19)</f>
        <v>0</v>
      </c>
      <c r="F19" s="127">
        <f>F$14*'Fin Inputs'!$M$23</f>
        <v>0</v>
      </c>
      <c r="G19" s="127">
        <f>G$14*'Fin Inputs'!$M$23</f>
        <v>0</v>
      </c>
      <c r="H19" s="127">
        <f>H$14*'Fin Inputs'!$M$23</f>
        <v>0</v>
      </c>
      <c r="I19" s="127">
        <f>I$14*'Fin Inputs'!$M$23</f>
        <v>0</v>
      </c>
      <c r="J19" s="127">
        <f>J$14*'Fin Inputs'!$M$23</f>
        <v>0</v>
      </c>
      <c r="K19" s="127">
        <f>K$14*'Fin Inputs'!$M$23</f>
        <v>0</v>
      </c>
      <c r="L19" s="127">
        <f>L$14*'Fin Inputs'!$M$23</f>
        <v>0</v>
      </c>
      <c r="M19" s="127">
        <f>M$14*'Fin Inputs'!$M$23</f>
        <v>0</v>
      </c>
      <c r="N19" s="127">
        <f>N$14*'Fin Inputs'!$M$23</f>
        <v>0</v>
      </c>
      <c r="O19" s="127">
        <f>O$14*'Fin Inputs'!$M$23</f>
        <v>0</v>
      </c>
      <c r="P19" s="127">
        <f>P$14*'Fin Inputs'!$M$23</f>
        <v>0</v>
      </c>
      <c r="Q19" s="127">
        <f>Q$14*'Fin Inputs'!$M$23</f>
        <v>0</v>
      </c>
      <c r="R19" s="127">
        <f>R$14*'Fin Inputs'!$M$23</f>
        <v>0</v>
      </c>
      <c r="S19" s="127">
        <f>S$14*'Fin Inputs'!$M$23</f>
        <v>0</v>
      </c>
      <c r="T19" s="127">
        <f>T$14*'Fin Inputs'!$M$23</f>
        <v>0</v>
      </c>
      <c r="U19" s="127">
        <f>U$14*'Fin Inputs'!$M$23</f>
        <v>0</v>
      </c>
      <c r="V19" s="127">
        <f>V$14*'Fin Inputs'!$M$23</f>
        <v>0</v>
      </c>
      <c r="W19" s="127">
        <f>W$14*'Fin Inputs'!$M$23</f>
        <v>0</v>
      </c>
      <c r="X19" s="127">
        <f>X$14*'Fin Inputs'!$M$23</f>
        <v>0</v>
      </c>
      <c r="Y19" s="127">
        <f>Y$14*'Fin Inputs'!$M$23</f>
        <v>0</v>
      </c>
      <c r="Z19" s="127">
        <f>Z$14*'Fin Inputs'!$M$23</f>
        <v>0</v>
      </c>
      <c r="AA19" s="127">
        <f>AA$14*'Fin Inputs'!$M$23</f>
        <v>0</v>
      </c>
      <c r="AB19" s="127">
        <f>AB$14*'Fin Inputs'!$M$23</f>
        <v>0</v>
      </c>
      <c r="AC19" s="127">
        <f>AC$14*'Fin Inputs'!$M$23</f>
        <v>0</v>
      </c>
      <c r="AD19" s="127">
        <f>AD$14*'Fin Inputs'!$M$23</f>
        <v>0</v>
      </c>
      <c r="AE19" s="127">
        <f>AE$14*'Fin Inputs'!$M$23</f>
        <v>0</v>
      </c>
      <c r="AF19" s="127">
        <f>AF$14*'Fin Inputs'!$M$23</f>
        <v>0</v>
      </c>
      <c r="AG19" s="127">
        <f>AG$14*'Fin Inputs'!$M$23</f>
        <v>0</v>
      </c>
      <c r="AH19" s="127">
        <f>AH$14*'Fin Inputs'!$M$23</f>
        <v>0</v>
      </c>
      <c r="AI19" s="127">
        <f>AI$14*'Fin Inputs'!$M$23</f>
        <v>0</v>
      </c>
      <c r="AJ19" s="127">
        <f>AJ$14*'Fin Inputs'!$M$23</f>
        <v>0</v>
      </c>
      <c r="AK19" s="127">
        <f>AK$14*'Fin Inputs'!$M$23</f>
        <v>0</v>
      </c>
      <c r="AL19" s="127">
        <f>AL$14*'Fin Inputs'!$M$23</f>
        <v>0</v>
      </c>
      <c r="AM19" s="127">
        <f>AM$14*'Fin Inputs'!$M$23</f>
        <v>0</v>
      </c>
      <c r="AN19" s="127">
        <f>AN$14*'Fin Inputs'!$M$23</f>
        <v>0</v>
      </c>
      <c r="AO19" s="127">
        <f>AO$14*'Fin Inputs'!$M$23</f>
        <v>0</v>
      </c>
      <c r="AP19" s="127">
        <f>AP$14*'Fin Inputs'!$M$23</f>
        <v>0</v>
      </c>
      <c r="AQ19" s="127">
        <f>AQ$14*'Fin Inputs'!$M$23</f>
        <v>0</v>
      </c>
      <c r="AR19" s="127">
        <f>AR$14*'Fin Inputs'!$M$23</f>
        <v>0</v>
      </c>
      <c r="AS19" s="127">
        <f>AS$14*'Fin Inputs'!$M$23</f>
        <v>0</v>
      </c>
    </row>
    <row r="20" spans="3:45" x14ac:dyDescent="0.3">
      <c r="C20" t="s">
        <v>209</v>
      </c>
      <c r="E20" s="161">
        <f t="shared" si="3"/>
        <v>0</v>
      </c>
      <c r="F20" s="127">
        <f>F$15*'Fin Inputs'!$M$31</f>
        <v>0</v>
      </c>
      <c r="G20" s="127">
        <f>G$15*'Fin Inputs'!$M$31</f>
        <v>0</v>
      </c>
      <c r="H20" s="127">
        <f>H$15*'Fin Inputs'!$M$31</f>
        <v>0</v>
      </c>
      <c r="I20" s="127">
        <f>I$15*'Fin Inputs'!$M$31</f>
        <v>0</v>
      </c>
      <c r="J20" s="127">
        <f>J$15*'Fin Inputs'!$M$31</f>
        <v>0</v>
      </c>
      <c r="K20" s="127">
        <f>K$15*'Fin Inputs'!$M$31</f>
        <v>0</v>
      </c>
      <c r="L20" s="127">
        <f>L$15*'Fin Inputs'!$M$31</f>
        <v>0</v>
      </c>
      <c r="M20" s="127">
        <f>M$15*'Fin Inputs'!$M$31</f>
        <v>0</v>
      </c>
      <c r="N20" s="127">
        <f>N$15*'Fin Inputs'!$M$31</f>
        <v>0</v>
      </c>
      <c r="O20" s="127">
        <f>O$15*'Fin Inputs'!$M$31</f>
        <v>0</v>
      </c>
      <c r="P20" s="127">
        <f>P$15*'Fin Inputs'!$M$31</f>
        <v>0</v>
      </c>
      <c r="Q20" s="127">
        <f>Q$15*'Fin Inputs'!$M$31</f>
        <v>0</v>
      </c>
      <c r="R20" s="127">
        <f>R$15*'Fin Inputs'!$M$31</f>
        <v>0</v>
      </c>
      <c r="S20" s="127">
        <f>S$15*'Fin Inputs'!$M$31</f>
        <v>0</v>
      </c>
      <c r="T20" s="127">
        <f>T$15*'Fin Inputs'!$M$31</f>
        <v>0</v>
      </c>
      <c r="U20" s="127">
        <f>U$15*'Fin Inputs'!$M$31</f>
        <v>0</v>
      </c>
      <c r="V20" s="127">
        <f>V$15*'Fin Inputs'!$M$31</f>
        <v>0</v>
      </c>
      <c r="W20" s="127">
        <f>W$15*'Fin Inputs'!$M$31</f>
        <v>0</v>
      </c>
      <c r="X20" s="127">
        <f>X$15*'Fin Inputs'!$M$31</f>
        <v>0</v>
      </c>
      <c r="Y20" s="127">
        <f>Y$15*'Fin Inputs'!$M$31</f>
        <v>0</v>
      </c>
      <c r="Z20" s="127">
        <f>Z$15*'Fin Inputs'!$M$31</f>
        <v>0</v>
      </c>
      <c r="AA20" s="127">
        <f>AA$15*'Fin Inputs'!$M$31</f>
        <v>0</v>
      </c>
      <c r="AB20" s="127">
        <f>AB$15*'Fin Inputs'!$M$31</f>
        <v>0</v>
      </c>
      <c r="AC20" s="127">
        <f>AC$15*'Fin Inputs'!$M$31</f>
        <v>0</v>
      </c>
      <c r="AD20" s="127">
        <f>AD$15*'Fin Inputs'!$M$31</f>
        <v>0</v>
      </c>
      <c r="AE20" s="127">
        <f>AE$15*'Fin Inputs'!$M$31</f>
        <v>0</v>
      </c>
      <c r="AF20" s="127">
        <f>AF$15*'Fin Inputs'!$M$31</f>
        <v>0</v>
      </c>
      <c r="AG20" s="127">
        <f>AG$15*'Fin Inputs'!$M$31</f>
        <v>0</v>
      </c>
      <c r="AH20" s="127">
        <f>AH$15*'Fin Inputs'!$M$31</f>
        <v>0</v>
      </c>
      <c r="AI20" s="127">
        <f>AI$15*'Fin Inputs'!$M$31</f>
        <v>0</v>
      </c>
      <c r="AJ20" s="127">
        <f>AJ$15*'Fin Inputs'!$M$31</f>
        <v>0</v>
      </c>
      <c r="AK20" s="127">
        <f>AK$15*'Fin Inputs'!$M$31</f>
        <v>0</v>
      </c>
      <c r="AL20" s="127">
        <f>AL$15*'Fin Inputs'!$M$31</f>
        <v>0</v>
      </c>
      <c r="AM20" s="127">
        <f>AM$15*'Fin Inputs'!$M$31</f>
        <v>0</v>
      </c>
      <c r="AN20" s="127">
        <f>AN$15*'Fin Inputs'!$M$31</f>
        <v>0</v>
      </c>
      <c r="AO20" s="127">
        <f>AO$15*'Fin Inputs'!$M$31</f>
        <v>0</v>
      </c>
      <c r="AP20" s="127">
        <f>AP$15*'Fin Inputs'!$M$31</f>
        <v>0</v>
      </c>
      <c r="AQ20" s="127">
        <f>AQ$15*'Fin Inputs'!$M$31</f>
        <v>0</v>
      </c>
      <c r="AR20" s="127">
        <f>AR$15*'Fin Inputs'!$M$31</f>
        <v>0</v>
      </c>
      <c r="AS20" s="127">
        <f>AS$15*'Fin Inputs'!$M$31</f>
        <v>0</v>
      </c>
    </row>
    <row r="21" spans="3:45" x14ac:dyDescent="0.3">
      <c r="C21" t="s">
        <v>363</v>
      </c>
      <c r="E21" s="161">
        <f t="shared" si="3"/>
        <v>0</v>
      </c>
      <c r="F21" s="127">
        <f>(F$8=1)*'Fin Inputs'!$M$33</f>
        <v>0</v>
      </c>
      <c r="G21" s="127">
        <f>(G$8=1)*'Fin Inputs'!$M$33</f>
        <v>0</v>
      </c>
      <c r="H21" s="127">
        <f>(H$8=1)*'Fin Inputs'!$M$33</f>
        <v>0</v>
      </c>
      <c r="I21" s="127">
        <f>(I$8=1)*'Fin Inputs'!$M$33</f>
        <v>0</v>
      </c>
      <c r="J21" s="127">
        <f>(J$8=1)*'Fin Inputs'!$M$33</f>
        <v>0</v>
      </c>
      <c r="K21" s="127">
        <f>(K$8=1)*'Fin Inputs'!$M$33</f>
        <v>0</v>
      </c>
      <c r="L21" s="127">
        <f>(L$8=1)*'Fin Inputs'!$M$33</f>
        <v>0</v>
      </c>
      <c r="M21" s="127">
        <f>(M$8=1)*'Fin Inputs'!$M$33</f>
        <v>0</v>
      </c>
      <c r="N21" s="127">
        <f>(N$8=1)*'Fin Inputs'!$M$33</f>
        <v>0</v>
      </c>
      <c r="O21" s="127">
        <f>(O$8=1)*'Fin Inputs'!$M$33</f>
        <v>0</v>
      </c>
      <c r="P21" s="127">
        <f>(P$8=1)*'Fin Inputs'!$M$33</f>
        <v>0</v>
      </c>
      <c r="Q21" s="127">
        <f>(Q$8=1)*'Fin Inputs'!$M$33</f>
        <v>0</v>
      </c>
      <c r="R21" s="127">
        <f>(R$8=1)*'Fin Inputs'!$M$33</f>
        <v>0</v>
      </c>
      <c r="S21" s="127">
        <f>(S$8=1)*'Fin Inputs'!$M$33</f>
        <v>0</v>
      </c>
      <c r="T21" s="127">
        <f>(T$8=1)*'Fin Inputs'!$M$33</f>
        <v>0</v>
      </c>
      <c r="U21" s="127">
        <f>(U$8=1)*'Fin Inputs'!$M$33</f>
        <v>0</v>
      </c>
      <c r="V21" s="127">
        <f>(V$8=1)*'Fin Inputs'!$M$33</f>
        <v>0</v>
      </c>
      <c r="W21" s="127">
        <f>(W$8=1)*'Fin Inputs'!$M$33</f>
        <v>0</v>
      </c>
      <c r="X21" s="127">
        <f>(X$8=1)*'Fin Inputs'!$M$33</f>
        <v>0</v>
      </c>
      <c r="Y21" s="127">
        <f>(Y$8=1)*'Fin Inputs'!$M$33</f>
        <v>0</v>
      </c>
      <c r="Z21" s="127">
        <f>(Z$8=1)*'Fin Inputs'!$M$33</f>
        <v>0</v>
      </c>
      <c r="AA21" s="127">
        <f>(AA$8=1)*'Fin Inputs'!$M$33</f>
        <v>0</v>
      </c>
      <c r="AB21" s="127">
        <f>(AB$8=1)*'Fin Inputs'!$M$33</f>
        <v>0</v>
      </c>
      <c r="AC21" s="127">
        <f>(AC$8=1)*'Fin Inputs'!$M$33</f>
        <v>0</v>
      </c>
      <c r="AD21" s="127">
        <f>(AD$8=1)*'Fin Inputs'!$M$33</f>
        <v>0</v>
      </c>
      <c r="AE21" s="127">
        <f>(AE$8=1)*'Fin Inputs'!$M$33</f>
        <v>0</v>
      </c>
      <c r="AF21" s="127">
        <f>(AF$8=1)*'Fin Inputs'!$M$33</f>
        <v>0</v>
      </c>
      <c r="AG21" s="127">
        <f>(AG$8=1)*'Fin Inputs'!$M$33</f>
        <v>0</v>
      </c>
      <c r="AH21" s="127">
        <f>(AH$8=1)*'Fin Inputs'!$M$33</f>
        <v>0</v>
      </c>
      <c r="AI21" s="127">
        <f>(AI$8=1)*'Fin Inputs'!$M$33</f>
        <v>0</v>
      </c>
      <c r="AJ21" s="127">
        <f>(AJ$8=1)*'Fin Inputs'!$M$33</f>
        <v>0</v>
      </c>
      <c r="AK21" s="127">
        <f>(AK$8=1)*'Fin Inputs'!$M$33</f>
        <v>0</v>
      </c>
      <c r="AL21" s="127">
        <f>(AL$8=1)*'Fin Inputs'!$M$33</f>
        <v>0</v>
      </c>
      <c r="AM21" s="127">
        <f>(AM$8=1)*'Fin Inputs'!$M$33</f>
        <v>0</v>
      </c>
      <c r="AN21" s="127">
        <f>(AN$8=1)*'Fin Inputs'!$M$33</f>
        <v>0</v>
      </c>
      <c r="AO21" s="127">
        <f>(AO$8=1)*'Fin Inputs'!$M$33</f>
        <v>0</v>
      </c>
      <c r="AP21" s="127">
        <f>(AP$8=1)*'Fin Inputs'!$M$33</f>
        <v>0</v>
      </c>
      <c r="AQ21" s="127">
        <f>(AQ$8=1)*'Fin Inputs'!$M$33</f>
        <v>0</v>
      </c>
      <c r="AR21" s="127">
        <f>(AR$8=1)*'Fin Inputs'!$M$33</f>
        <v>0</v>
      </c>
      <c r="AS21" s="127">
        <f>(AS$8=1)*'Fin Inputs'!$M$33</f>
        <v>0</v>
      </c>
    </row>
    <row r="22" spans="3:45" x14ac:dyDescent="0.3">
      <c r="C22" t="s">
        <v>364</v>
      </c>
      <c r="E22" s="161">
        <f t="shared" si="3"/>
        <v>0</v>
      </c>
      <c r="F22" s="127">
        <f>F$14*'Fin Inputs'!$M$35</f>
        <v>0</v>
      </c>
      <c r="G22" s="127">
        <f>G$14*'Fin Inputs'!$M$35</f>
        <v>0</v>
      </c>
      <c r="H22" s="127">
        <f>H$14*'Fin Inputs'!$M$35</f>
        <v>0</v>
      </c>
      <c r="I22" s="127">
        <f>I$14*'Fin Inputs'!$M$35</f>
        <v>0</v>
      </c>
      <c r="J22" s="127">
        <f>J$14*'Fin Inputs'!$M$35</f>
        <v>0</v>
      </c>
      <c r="K22" s="127">
        <f>K$14*'Fin Inputs'!$M$35</f>
        <v>0</v>
      </c>
      <c r="L22" s="127">
        <f>L$14*'Fin Inputs'!$M$35</f>
        <v>0</v>
      </c>
      <c r="M22" s="127">
        <f>M$14*'Fin Inputs'!$M$35</f>
        <v>0</v>
      </c>
      <c r="N22" s="127">
        <f>N$14*'Fin Inputs'!$M$35</f>
        <v>0</v>
      </c>
      <c r="O22" s="127">
        <f>O$14*'Fin Inputs'!$M$35</f>
        <v>0</v>
      </c>
      <c r="P22" s="127">
        <f>P$14*'Fin Inputs'!$M$35</f>
        <v>0</v>
      </c>
      <c r="Q22" s="127">
        <f>Q$14*'Fin Inputs'!$M$35</f>
        <v>0</v>
      </c>
      <c r="R22" s="127">
        <f>R$14*'Fin Inputs'!$M$35</f>
        <v>0</v>
      </c>
      <c r="S22" s="127">
        <f>S$14*'Fin Inputs'!$M$35</f>
        <v>0</v>
      </c>
      <c r="T22" s="127">
        <f>T$14*'Fin Inputs'!$M$35</f>
        <v>0</v>
      </c>
      <c r="U22" s="127">
        <f>U$14*'Fin Inputs'!$M$35</f>
        <v>0</v>
      </c>
      <c r="V22" s="127">
        <f>V$14*'Fin Inputs'!$M$35</f>
        <v>0</v>
      </c>
      <c r="W22" s="127">
        <f>W$14*'Fin Inputs'!$M$35</f>
        <v>0</v>
      </c>
      <c r="X22" s="127">
        <f>X$14*'Fin Inputs'!$M$35</f>
        <v>0</v>
      </c>
      <c r="Y22" s="127">
        <f>Y$14*'Fin Inputs'!$M$35</f>
        <v>0</v>
      </c>
      <c r="Z22" s="127">
        <f>Z$14*'Fin Inputs'!$M$35</f>
        <v>0</v>
      </c>
      <c r="AA22" s="127">
        <f>AA$14*'Fin Inputs'!$M$35</f>
        <v>0</v>
      </c>
      <c r="AB22" s="127">
        <f>AB$14*'Fin Inputs'!$M$35</f>
        <v>0</v>
      </c>
      <c r="AC22" s="127">
        <f>AC$14*'Fin Inputs'!$M$35</f>
        <v>0</v>
      </c>
      <c r="AD22" s="127">
        <f>AD$14*'Fin Inputs'!$M$35</f>
        <v>0</v>
      </c>
      <c r="AE22" s="127">
        <f>AE$14*'Fin Inputs'!$M$35</f>
        <v>0</v>
      </c>
      <c r="AF22" s="127">
        <f>AF$14*'Fin Inputs'!$M$35</f>
        <v>0</v>
      </c>
      <c r="AG22" s="127">
        <f>AG$14*'Fin Inputs'!$M$35</f>
        <v>0</v>
      </c>
      <c r="AH22" s="127">
        <f>AH$14*'Fin Inputs'!$M$35</f>
        <v>0</v>
      </c>
      <c r="AI22" s="127">
        <f>AI$14*'Fin Inputs'!$M$35</f>
        <v>0</v>
      </c>
      <c r="AJ22" s="127">
        <f>AJ$14*'Fin Inputs'!$M$35</f>
        <v>0</v>
      </c>
      <c r="AK22" s="127">
        <f>AK$14*'Fin Inputs'!$M$35</f>
        <v>0</v>
      </c>
      <c r="AL22" s="127">
        <f>AL$14*'Fin Inputs'!$M$35</f>
        <v>0</v>
      </c>
      <c r="AM22" s="127">
        <f>AM$14*'Fin Inputs'!$M$35</f>
        <v>0</v>
      </c>
      <c r="AN22" s="127">
        <f>AN$14*'Fin Inputs'!$M$35</f>
        <v>0</v>
      </c>
      <c r="AO22" s="127">
        <f>AO$14*'Fin Inputs'!$M$35</f>
        <v>0</v>
      </c>
      <c r="AP22" s="127">
        <f>AP$14*'Fin Inputs'!$M$35</f>
        <v>0</v>
      </c>
      <c r="AQ22" s="127">
        <f>AQ$14*'Fin Inputs'!$M$35</f>
        <v>0</v>
      </c>
      <c r="AR22" s="127">
        <f>AR$14*'Fin Inputs'!$M$35</f>
        <v>0</v>
      </c>
      <c r="AS22" s="127">
        <f>AS$14*'Fin Inputs'!$M$35</f>
        <v>0</v>
      </c>
    </row>
    <row r="23" spans="3:45" x14ac:dyDescent="0.3">
      <c r="C23" t="s">
        <v>365</v>
      </c>
      <c r="E23" s="161">
        <f t="shared" si="3"/>
        <v>0</v>
      </c>
      <c r="F23" s="127">
        <f>F$10*'Fin Inputs'!$M$37</f>
        <v>0</v>
      </c>
      <c r="G23" s="127">
        <f>G$10*'Fin Inputs'!$M$37</f>
        <v>0</v>
      </c>
      <c r="H23" s="127">
        <f>H$10*'Fin Inputs'!$M$37</f>
        <v>0</v>
      </c>
      <c r="I23" s="127">
        <f>I$10*'Fin Inputs'!$M$37</f>
        <v>0</v>
      </c>
      <c r="J23" s="127">
        <f>J$10*'Fin Inputs'!$M$37</f>
        <v>0</v>
      </c>
      <c r="K23" s="127">
        <f>K$10*'Fin Inputs'!$M$37</f>
        <v>0</v>
      </c>
      <c r="L23" s="127">
        <f>L$10*'Fin Inputs'!$M$37</f>
        <v>0</v>
      </c>
      <c r="M23" s="127">
        <f>M$10*'Fin Inputs'!$M$37</f>
        <v>0</v>
      </c>
      <c r="N23" s="127">
        <f>N$10*'Fin Inputs'!$M$37</f>
        <v>0</v>
      </c>
      <c r="O23" s="127">
        <f>O$10*'Fin Inputs'!$M$37</f>
        <v>0</v>
      </c>
      <c r="P23" s="127">
        <f>P$10*'Fin Inputs'!$M$37</f>
        <v>0</v>
      </c>
      <c r="Q23" s="127">
        <f>Q$10*'Fin Inputs'!$M$37</f>
        <v>0</v>
      </c>
      <c r="R23" s="127">
        <f>R$10*'Fin Inputs'!$M$37</f>
        <v>0</v>
      </c>
      <c r="S23" s="127">
        <f>S$10*'Fin Inputs'!$M$37</f>
        <v>0</v>
      </c>
      <c r="T23" s="127">
        <f>T$10*'Fin Inputs'!$M$37</f>
        <v>0</v>
      </c>
      <c r="U23" s="127">
        <f>U$10*'Fin Inputs'!$M$37</f>
        <v>0</v>
      </c>
      <c r="V23" s="127">
        <f>V$10*'Fin Inputs'!$M$37</f>
        <v>0</v>
      </c>
      <c r="W23" s="127">
        <f>W$10*'Fin Inputs'!$M$37</f>
        <v>0</v>
      </c>
      <c r="X23" s="127">
        <f>X$10*'Fin Inputs'!$M$37</f>
        <v>0</v>
      </c>
      <c r="Y23" s="127">
        <f>Y$10*'Fin Inputs'!$M$37</f>
        <v>0</v>
      </c>
      <c r="Z23" s="127">
        <f>Z$10*'Fin Inputs'!$M$37</f>
        <v>0</v>
      </c>
      <c r="AA23" s="127">
        <f>AA$10*'Fin Inputs'!$M$37</f>
        <v>0</v>
      </c>
      <c r="AB23" s="127">
        <f>AB$10*'Fin Inputs'!$M$37</f>
        <v>0</v>
      </c>
      <c r="AC23" s="127">
        <f>AC$10*'Fin Inputs'!$M$37</f>
        <v>0</v>
      </c>
      <c r="AD23" s="127">
        <f>AD$10*'Fin Inputs'!$M$37</f>
        <v>0</v>
      </c>
      <c r="AE23" s="127">
        <f>AE$10*'Fin Inputs'!$M$37</f>
        <v>0</v>
      </c>
      <c r="AF23" s="127">
        <f>AF$10*'Fin Inputs'!$M$37</f>
        <v>0</v>
      </c>
      <c r="AG23" s="127">
        <f>AG$10*'Fin Inputs'!$M$37</f>
        <v>0</v>
      </c>
      <c r="AH23" s="127">
        <f>AH$10*'Fin Inputs'!$M$37</f>
        <v>0</v>
      </c>
      <c r="AI23" s="127">
        <f>AI$10*'Fin Inputs'!$M$37</f>
        <v>0</v>
      </c>
      <c r="AJ23" s="127">
        <f>AJ$10*'Fin Inputs'!$M$37</f>
        <v>0</v>
      </c>
      <c r="AK23" s="127">
        <f>AK$10*'Fin Inputs'!$M$37</f>
        <v>0</v>
      </c>
      <c r="AL23" s="127">
        <f>AL$10*'Fin Inputs'!$M$37</f>
        <v>0</v>
      </c>
      <c r="AM23" s="127">
        <f>AM$10*'Fin Inputs'!$M$37</f>
        <v>0</v>
      </c>
      <c r="AN23" s="127">
        <f>AN$10*'Fin Inputs'!$M$37</f>
        <v>0</v>
      </c>
      <c r="AO23" s="127">
        <f>AO$10*'Fin Inputs'!$M$37</f>
        <v>0</v>
      </c>
      <c r="AP23" s="127">
        <f>AP$10*'Fin Inputs'!$M$37</f>
        <v>0</v>
      </c>
      <c r="AQ23" s="127">
        <f>AQ$10*'Fin Inputs'!$M$37</f>
        <v>0</v>
      </c>
      <c r="AR23" s="127">
        <f>AR$10*'Fin Inputs'!$M$37</f>
        <v>0</v>
      </c>
      <c r="AS23" s="127">
        <f>AS$10*'Fin Inputs'!$M$37</f>
        <v>0</v>
      </c>
    </row>
    <row r="24" spans="3:45" x14ac:dyDescent="0.3">
      <c r="E24" s="163"/>
      <c r="F24" s="127"/>
      <c r="G24" s="127"/>
      <c r="H24" s="127"/>
      <c r="I24" s="127"/>
      <c r="J24" s="127"/>
      <c r="K24" s="127"/>
      <c r="L24" s="127"/>
      <c r="M24" s="127"/>
      <c r="N24" s="127"/>
      <c r="O24" s="127"/>
      <c r="P24" s="127"/>
      <c r="Q24" s="127"/>
      <c r="R24" s="127"/>
      <c r="S24" s="127"/>
      <c r="T24" s="127"/>
      <c r="U24" s="127"/>
      <c r="V24" s="127"/>
      <c r="W24" s="127"/>
      <c r="X24" s="127"/>
      <c r="Y24" s="127"/>
      <c r="Z24" s="127"/>
      <c r="AA24" s="127"/>
      <c r="AB24" s="127"/>
      <c r="AC24" s="127"/>
      <c r="AD24" s="127"/>
      <c r="AE24" s="127"/>
      <c r="AF24" s="127"/>
      <c r="AG24" s="127"/>
      <c r="AH24" s="127"/>
      <c r="AI24" s="127"/>
      <c r="AJ24" s="127"/>
      <c r="AK24" s="127"/>
      <c r="AL24" s="127"/>
      <c r="AM24" s="127"/>
      <c r="AN24" s="127"/>
      <c r="AO24" s="127"/>
      <c r="AP24" s="127"/>
      <c r="AQ24" s="127"/>
      <c r="AR24" s="127"/>
      <c r="AS24" s="127"/>
    </row>
    <row r="25" spans="3:45" x14ac:dyDescent="0.3">
      <c r="C25" s="2" t="s">
        <v>244</v>
      </c>
      <c r="E25" s="163"/>
      <c r="F25" s="127"/>
      <c r="G25" s="127"/>
      <c r="H25" s="127"/>
      <c r="I25" s="127"/>
      <c r="J25" s="127"/>
      <c r="K25" s="127"/>
      <c r="L25" s="127"/>
      <c r="M25" s="127"/>
      <c r="N25" s="127"/>
      <c r="O25" s="127"/>
      <c r="P25" s="127"/>
      <c r="Q25" s="127"/>
      <c r="R25" s="127"/>
      <c r="S25" s="127"/>
      <c r="T25" s="127"/>
      <c r="U25" s="127"/>
      <c r="V25" s="127"/>
      <c r="W25" s="127"/>
      <c r="X25" s="127"/>
      <c r="Y25" s="127"/>
      <c r="Z25" s="127"/>
      <c r="AA25" s="127"/>
      <c r="AB25" s="127"/>
      <c r="AC25" s="127"/>
      <c r="AD25" s="127"/>
      <c r="AE25" s="127"/>
      <c r="AF25" s="127"/>
      <c r="AG25" s="127"/>
      <c r="AH25" s="127"/>
      <c r="AI25" s="127"/>
      <c r="AJ25" s="127"/>
      <c r="AK25" s="127"/>
      <c r="AL25" s="127"/>
      <c r="AM25" s="127"/>
      <c r="AN25" s="127"/>
      <c r="AO25" s="127"/>
      <c r="AP25" s="127"/>
      <c r="AQ25" s="127"/>
      <c r="AR25" s="127"/>
      <c r="AS25" s="127"/>
    </row>
    <row r="26" spans="3:45" x14ac:dyDescent="0.3">
      <c r="C26" s="10" t="str">
        <f>'Fin Inputs'!K40</f>
        <v>Interest during Construction</v>
      </c>
      <c r="E26" s="161">
        <f>'Fin Inputs'!M40</f>
        <v>0</v>
      </c>
      <c r="F26" s="164">
        <f>F42</f>
        <v>0</v>
      </c>
      <c r="G26" s="164">
        <f t="shared" ref="G26:AS26" si="4">G42</f>
        <v>0</v>
      </c>
      <c r="H26" s="164">
        <f t="shared" si="4"/>
        <v>0</v>
      </c>
      <c r="I26" s="164">
        <f>I42</f>
        <v>0</v>
      </c>
      <c r="J26" s="164">
        <f t="shared" si="4"/>
        <v>0</v>
      </c>
      <c r="K26" s="164">
        <f t="shared" si="4"/>
        <v>0</v>
      </c>
      <c r="L26" s="164">
        <f t="shared" si="4"/>
        <v>0</v>
      </c>
      <c r="M26" s="164">
        <f t="shared" si="4"/>
        <v>0</v>
      </c>
      <c r="N26" s="164">
        <f t="shared" si="4"/>
        <v>0</v>
      </c>
      <c r="O26" s="164">
        <f t="shared" si="4"/>
        <v>0</v>
      </c>
      <c r="P26" s="164">
        <f t="shared" si="4"/>
        <v>0</v>
      </c>
      <c r="Q26" s="164">
        <f t="shared" si="4"/>
        <v>0</v>
      </c>
      <c r="R26" s="164">
        <f t="shared" si="4"/>
        <v>0</v>
      </c>
      <c r="S26" s="164">
        <f t="shared" si="4"/>
        <v>0</v>
      </c>
      <c r="T26" s="164">
        <f t="shared" si="4"/>
        <v>0</v>
      </c>
      <c r="U26" s="164">
        <f t="shared" si="4"/>
        <v>0</v>
      </c>
      <c r="V26" s="164">
        <f t="shared" si="4"/>
        <v>0</v>
      </c>
      <c r="W26" s="164">
        <f t="shared" si="4"/>
        <v>0</v>
      </c>
      <c r="X26" s="164">
        <f t="shared" si="4"/>
        <v>0</v>
      </c>
      <c r="Y26" s="164">
        <f t="shared" si="4"/>
        <v>0</v>
      </c>
      <c r="Z26" s="164">
        <f t="shared" si="4"/>
        <v>0</v>
      </c>
      <c r="AA26" s="164">
        <f t="shared" si="4"/>
        <v>0</v>
      </c>
      <c r="AB26" s="164">
        <f t="shared" si="4"/>
        <v>0</v>
      </c>
      <c r="AC26" s="164">
        <f t="shared" si="4"/>
        <v>0</v>
      </c>
      <c r="AD26" s="164">
        <f t="shared" si="4"/>
        <v>0</v>
      </c>
      <c r="AE26" s="164">
        <f t="shared" si="4"/>
        <v>0</v>
      </c>
      <c r="AF26" s="164">
        <f t="shared" si="4"/>
        <v>0</v>
      </c>
      <c r="AG26" s="164">
        <f t="shared" si="4"/>
        <v>0</v>
      </c>
      <c r="AH26" s="164">
        <f t="shared" si="4"/>
        <v>0</v>
      </c>
      <c r="AI26" s="164">
        <f t="shared" si="4"/>
        <v>0</v>
      </c>
      <c r="AJ26" s="164">
        <f t="shared" si="4"/>
        <v>0</v>
      </c>
      <c r="AK26" s="164">
        <f t="shared" si="4"/>
        <v>0</v>
      </c>
      <c r="AL26" s="164">
        <f t="shared" si="4"/>
        <v>0</v>
      </c>
      <c r="AM26" s="164">
        <f t="shared" si="4"/>
        <v>0</v>
      </c>
      <c r="AN26" s="164">
        <f t="shared" si="4"/>
        <v>0</v>
      </c>
      <c r="AO26" s="164">
        <f t="shared" si="4"/>
        <v>0</v>
      </c>
      <c r="AP26" s="164">
        <f t="shared" si="4"/>
        <v>0</v>
      </c>
      <c r="AQ26" s="164">
        <f t="shared" si="4"/>
        <v>0</v>
      </c>
      <c r="AR26" s="164">
        <f t="shared" si="4"/>
        <v>0</v>
      </c>
      <c r="AS26" s="164">
        <f t="shared" si="4"/>
        <v>0</v>
      </c>
    </row>
    <row r="27" spans="3:45" x14ac:dyDescent="0.3">
      <c r="C27" s="10" t="str">
        <f>'Fin Inputs'!K41</f>
        <v>Equity Placement Fee</v>
      </c>
      <c r="E27" s="161">
        <f>'Fin Inputs'!M41</f>
        <v>0</v>
      </c>
      <c r="F27" s="127">
        <f t="shared" ref="F27:AS27" si="5">$E$27*F$10</f>
        <v>0</v>
      </c>
      <c r="G27" s="127">
        <f t="shared" si="5"/>
        <v>0</v>
      </c>
      <c r="H27" s="127">
        <f t="shared" si="5"/>
        <v>0</v>
      </c>
      <c r="I27" s="127">
        <f t="shared" si="5"/>
        <v>0</v>
      </c>
      <c r="J27" s="127">
        <f t="shared" si="5"/>
        <v>0</v>
      </c>
      <c r="K27" s="127">
        <f t="shared" si="5"/>
        <v>0</v>
      </c>
      <c r="L27" s="127">
        <f t="shared" si="5"/>
        <v>0</v>
      </c>
      <c r="M27" s="127">
        <f t="shared" si="5"/>
        <v>0</v>
      </c>
      <c r="N27" s="127">
        <f t="shared" si="5"/>
        <v>0</v>
      </c>
      <c r="O27" s="127">
        <f t="shared" si="5"/>
        <v>0</v>
      </c>
      <c r="P27" s="127">
        <f t="shared" si="5"/>
        <v>0</v>
      </c>
      <c r="Q27" s="127">
        <f t="shared" si="5"/>
        <v>0</v>
      </c>
      <c r="R27" s="127">
        <f t="shared" si="5"/>
        <v>0</v>
      </c>
      <c r="S27" s="127">
        <f t="shared" si="5"/>
        <v>0</v>
      </c>
      <c r="T27" s="127">
        <f t="shared" si="5"/>
        <v>0</v>
      </c>
      <c r="U27" s="127">
        <f t="shared" si="5"/>
        <v>0</v>
      </c>
      <c r="V27" s="127">
        <f t="shared" si="5"/>
        <v>0</v>
      </c>
      <c r="W27" s="127">
        <f t="shared" si="5"/>
        <v>0</v>
      </c>
      <c r="X27" s="127">
        <f t="shared" si="5"/>
        <v>0</v>
      </c>
      <c r="Y27" s="127">
        <f t="shared" si="5"/>
        <v>0</v>
      </c>
      <c r="Z27" s="127">
        <f t="shared" si="5"/>
        <v>0</v>
      </c>
      <c r="AA27" s="127">
        <f t="shared" si="5"/>
        <v>0</v>
      </c>
      <c r="AB27" s="127">
        <f t="shared" si="5"/>
        <v>0</v>
      </c>
      <c r="AC27" s="127">
        <f t="shared" si="5"/>
        <v>0</v>
      </c>
      <c r="AD27" s="127">
        <f t="shared" si="5"/>
        <v>0</v>
      </c>
      <c r="AE27" s="127">
        <f t="shared" si="5"/>
        <v>0</v>
      </c>
      <c r="AF27" s="127">
        <f t="shared" si="5"/>
        <v>0</v>
      </c>
      <c r="AG27" s="127">
        <f t="shared" si="5"/>
        <v>0</v>
      </c>
      <c r="AH27" s="127">
        <f t="shared" si="5"/>
        <v>0</v>
      </c>
      <c r="AI27" s="127">
        <f t="shared" si="5"/>
        <v>0</v>
      </c>
      <c r="AJ27" s="127">
        <f t="shared" si="5"/>
        <v>0</v>
      </c>
      <c r="AK27" s="127">
        <f t="shared" si="5"/>
        <v>0</v>
      </c>
      <c r="AL27" s="127">
        <f t="shared" si="5"/>
        <v>0</v>
      </c>
      <c r="AM27" s="127">
        <f t="shared" si="5"/>
        <v>0</v>
      </c>
      <c r="AN27" s="127">
        <f t="shared" si="5"/>
        <v>0</v>
      </c>
      <c r="AO27" s="127">
        <f t="shared" si="5"/>
        <v>0</v>
      </c>
      <c r="AP27" s="127">
        <f t="shared" si="5"/>
        <v>0</v>
      </c>
      <c r="AQ27" s="127">
        <f t="shared" si="5"/>
        <v>0</v>
      </c>
      <c r="AR27" s="127">
        <f t="shared" si="5"/>
        <v>0</v>
      </c>
      <c r="AS27" s="127">
        <f t="shared" si="5"/>
        <v>0</v>
      </c>
    </row>
    <row r="28" spans="3:45" x14ac:dyDescent="0.3">
      <c r="C28" s="10" t="str">
        <f>'Fin Inputs'!K42</f>
        <v>Construction Loan Upfront Fee</v>
      </c>
      <c r="E28" s="161">
        <f>'Fin Inputs'!M42</f>
        <v>0</v>
      </c>
      <c r="F28" s="127">
        <f t="shared" ref="F28:AS28" si="6">$E$28*(F$8=1)</f>
        <v>0</v>
      </c>
      <c r="G28" s="127">
        <f t="shared" si="6"/>
        <v>0</v>
      </c>
      <c r="H28" s="127">
        <f t="shared" si="6"/>
        <v>0</v>
      </c>
      <c r="I28" s="127">
        <f t="shared" si="6"/>
        <v>0</v>
      </c>
      <c r="J28" s="127">
        <f t="shared" si="6"/>
        <v>0</v>
      </c>
      <c r="K28" s="127">
        <f t="shared" si="6"/>
        <v>0</v>
      </c>
      <c r="L28" s="127">
        <f t="shared" si="6"/>
        <v>0</v>
      </c>
      <c r="M28" s="127">
        <f t="shared" si="6"/>
        <v>0</v>
      </c>
      <c r="N28" s="127">
        <f t="shared" si="6"/>
        <v>0</v>
      </c>
      <c r="O28" s="127">
        <f t="shared" si="6"/>
        <v>0</v>
      </c>
      <c r="P28" s="127">
        <f t="shared" si="6"/>
        <v>0</v>
      </c>
      <c r="Q28" s="127">
        <f t="shared" si="6"/>
        <v>0</v>
      </c>
      <c r="R28" s="127">
        <f t="shared" si="6"/>
        <v>0</v>
      </c>
      <c r="S28" s="127">
        <f t="shared" si="6"/>
        <v>0</v>
      </c>
      <c r="T28" s="127">
        <f t="shared" si="6"/>
        <v>0</v>
      </c>
      <c r="U28" s="127">
        <f t="shared" si="6"/>
        <v>0</v>
      </c>
      <c r="V28" s="127">
        <f t="shared" si="6"/>
        <v>0</v>
      </c>
      <c r="W28" s="127">
        <f t="shared" si="6"/>
        <v>0</v>
      </c>
      <c r="X28" s="127">
        <f t="shared" si="6"/>
        <v>0</v>
      </c>
      <c r="Y28" s="127">
        <f t="shared" si="6"/>
        <v>0</v>
      </c>
      <c r="Z28" s="127">
        <f t="shared" si="6"/>
        <v>0</v>
      </c>
      <c r="AA28" s="127">
        <f t="shared" si="6"/>
        <v>0</v>
      </c>
      <c r="AB28" s="127">
        <f t="shared" si="6"/>
        <v>0</v>
      </c>
      <c r="AC28" s="127">
        <f t="shared" si="6"/>
        <v>0</v>
      </c>
      <c r="AD28" s="127">
        <f t="shared" si="6"/>
        <v>0</v>
      </c>
      <c r="AE28" s="127">
        <f t="shared" si="6"/>
        <v>0</v>
      </c>
      <c r="AF28" s="127">
        <f t="shared" si="6"/>
        <v>0</v>
      </c>
      <c r="AG28" s="127">
        <f t="shared" si="6"/>
        <v>0</v>
      </c>
      <c r="AH28" s="127">
        <f t="shared" si="6"/>
        <v>0</v>
      </c>
      <c r="AI28" s="127">
        <f t="shared" si="6"/>
        <v>0</v>
      </c>
      <c r="AJ28" s="127">
        <f t="shared" si="6"/>
        <v>0</v>
      </c>
      <c r="AK28" s="127">
        <f t="shared" si="6"/>
        <v>0</v>
      </c>
      <c r="AL28" s="127">
        <f t="shared" si="6"/>
        <v>0</v>
      </c>
      <c r="AM28" s="127">
        <f t="shared" si="6"/>
        <v>0</v>
      </c>
      <c r="AN28" s="127">
        <f t="shared" si="6"/>
        <v>0</v>
      </c>
      <c r="AO28" s="127">
        <f t="shared" si="6"/>
        <v>0</v>
      </c>
      <c r="AP28" s="127">
        <f t="shared" si="6"/>
        <v>0</v>
      </c>
      <c r="AQ28" s="127">
        <f t="shared" si="6"/>
        <v>0</v>
      </c>
      <c r="AR28" s="127">
        <f t="shared" si="6"/>
        <v>0</v>
      </c>
      <c r="AS28" s="127">
        <f t="shared" si="6"/>
        <v>0</v>
      </c>
    </row>
    <row r="29" spans="3:45" x14ac:dyDescent="0.3">
      <c r="C29" s="10" t="str">
        <f>'Fin Inputs'!K43</f>
        <v>Debt Commitment Fee</v>
      </c>
      <c r="E29" s="161">
        <f>'Fin Inputs'!M43</f>
        <v>0</v>
      </c>
      <c r="F29" s="127">
        <f>F$45</f>
        <v>0</v>
      </c>
      <c r="G29" s="127">
        <f t="shared" ref="G29:AS29" si="7">G$45</f>
        <v>0</v>
      </c>
      <c r="H29" s="127">
        <f t="shared" si="7"/>
        <v>0</v>
      </c>
      <c r="I29" s="127">
        <f t="shared" si="7"/>
        <v>0</v>
      </c>
      <c r="J29" s="127">
        <f t="shared" si="7"/>
        <v>0</v>
      </c>
      <c r="K29" s="127">
        <f t="shared" si="7"/>
        <v>0</v>
      </c>
      <c r="L29" s="127">
        <f t="shared" si="7"/>
        <v>0</v>
      </c>
      <c r="M29" s="127">
        <f t="shared" si="7"/>
        <v>0</v>
      </c>
      <c r="N29" s="127">
        <f t="shared" si="7"/>
        <v>0</v>
      </c>
      <c r="O29" s="127">
        <f t="shared" si="7"/>
        <v>0</v>
      </c>
      <c r="P29" s="127">
        <f t="shared" si="7"/>
        <v>0</v>
      </c>
      <c r="Q29" s="127">
        <f t="shared" si="7"/>
        <v>0</v>
      </c>
      <c r="R29" s="127">
        <f t="shared" si="7"/>
        <v>0</v>
      </c>
      <c r="S29" s="127">
        <f t="shared" si="7"/>
        <v>0</v>
      </c>
      <c r="T29" s="127">
        <f t="shared" si="7"/>
        <v>0</v>
      </c>
      <c r="U29" s="127">
        <f t="shared" si="7"/>
        <v>0</v>
      </c>
      <c r="V29" s="127">
        <f t="shared" si="7"/>
        <v>0</v>
      </c>
      <c r="W29" s="127">
        <f t="shared" si="7"/>
        <v>0</v>
      </c>
      <c r="X29" s="127">
        <f t="shared" si="7"/>
        <v>0</v>
      </c>
      <c r="Y29" s="127">
        <f t="shared" si="7"/>
        <v>0</v>
      </c>
      <c r="Z29" s="127">
        <f t="shared" si="7"/>
        <v>0</v>
      </c>
      <c r="AA29" s="127">
        <f t="shared" si="7"/>
        <v>0</v>
      </c>
      <c r="AB29" s="127">
        <f t="shared" si="7"/>
        <v>0</v>
      </c>
      <c r="AC29" s="127">
        <f t="shared" si="7"/>
        <v>0</v>
      </c>
      <c r="AD29" s="127">
        <f t="shared" si="7"/>
        <v>0</v>
      </c>
      <c r="AE29" s="127">
        <f t="shared" si="7"/>
        <v>0</v>
      </c>
      <c r="AF29" s="127">
        <f t="shared" si="7"/>
        <v>0</v>
      </c>
      <c r="AG29" s="127">
        <f t="shared" si="7"/>
        <v>0</v>
      </c>
      <c r="AH29" s="127">
        <f t="shared" si="7"/>
        <v>0</v>
      </c>
      <c r="AI29" s="127">
        <f t="shared" si="7"/>
        <v>0</v>
      </c>
      <c r="AJ29" s="127">
        <f t="shared" si="7"/>
        <v>0</v>
      </c>
      <c r="AK29" s="127">
        <f t="shared" si="7"/>
        <v>0</v>
      </c>
      <c r="AL29" s="127">
        <f t="shared" si="7"/>
        <v>0</v>
      </c>
      <c r="AM29" s="127">
        <f t="shared" si="7"/>
        <v>0</v>
      </c>
      <c r="AN29" s="127">
        <f t="shared" si="7"/>
        <v>0</v>
      </c>
      <c r="AO29" s="127">
        <f t="shared" si="7"/>
        <v>0</v>
      </c>
      <c r="AP29" s="127">
        <f t="shared" si="7"/>
        <v>0</v>
      </c>
      <c r="AQ29" s="127">
        <f t="shared" si="7"/>
        <v>0</v>
      </c>
      <c r="AR29" s="127">
        <f t="shared" si="7"/>
        <v>0</v>
      </c>
      <c r="AS29" s="127">
        <f t="shared" si="7"/>
        <v>0</v>
      </c>
    </row>
    <row r="30" spans="3:45" x14ac:dyDescent="0.3">
      <c r="C30" s="10" t="str">
        <f>'Fin Inputs'!K44</f>
        <v>Long Term Debt Placement Fee</v>
      </c>
      <c r="E30" s="161">
        <f>'Fin Inputs'!M44</f>
        <v>0</v>
      </c>
      <c r="F30" s="127">
        <f>$E$30*F$10</f>
        <v>0</v>
      </c>
      <c r="G30" s="127">
        <f t="shared" ref="G30:AS30" si="8">$E$30*G$10</f>
        <v>0</v>
      </c>
      <c r="H30" s="127">
        <f t="shared" si="8"/>
        <v>0</v>
      </c>
      <c r="I30" s="127">
        <f t="shared" si="8"/>
        <v>0</v>
      </c>
      <c r="J30" s="127">
        <f t="shared" si="8"/>
        <v>0</v>
      </c>
      <c r="K30" s="127">
        <f t="shared" si="8"/>
        <v>0</v>
      </c>
      <c r="L30" s="127">
        <f t="shared" si="8"/>
        <v>0</v>
      </c>
      <c r="M30" s="127">
        <f t="shared" si="8"/>
        <v>0</v>
      </c>
      <c r="N30" s="127">
        <f t="shared" si="8"/>
        <v>0</v>
      </c>
      <c r="O30" s="127">
        <f t="shared" si="8"/>
        <v>0</v>
      </c>
      <c r="P30" s="127">
        <f t="shared" si="8"/>
        <v>0</v>
      </c>
      <c r="Q30" s="127">
        <f t="shared" si="8"/>
        <v>0</v>
      </c>
      <c r="R30" s="127">
        <f t="shared" si="8"/>
        <v>0</v>
      </c>
      <c r="S30" s="127">
        <f t="shared" si="8"/>
        <v>0</v>
      </c>
      <c r="T30" s="127">
        <f t="shared" si="8"/>
        <v>0</v>
      </c>
      <c r="U30" s="127">
        <f t="shared" si="8"/>
        <v>0</v>
      </c>
      <c r="V30" s="127">
        <f t="shared" si="8"/>
        <v>0</v>
      </c>
      <c r="W30" s="127">
        <f t="shared" si="8"/>
        <v>0</v>
      </c>
      <c r="X30" s="127">
        <f t="shared" si="8"/>
        <v>0</v>
      </c>
      <c r="Y30" s="127">
        <f t="shared" si="8"/>
        <v>0</v>
      </c>
      <c r="Z30" s="127">
        <f t="shared" si="8"/>
        <v>0</v>
      </c>
      <c r="AA30" s="127">
        <f t="shared" si="8"/>
        <v>0</v>
      </c>
      <c r="AB30" s="127">
        <f t="shared" si="8"/>
        <v>0</v>
      </c>
      <c r="AC30" s="127">
        <f t="shared" si="8"/>
        <v>0</v>
      </c>
      <c r="AD30" s="127">
        <f t="shared" si="8"/>
        <v>0</v>
      </c>
      <c r="AE30" s="127">
        <f t="shared" si="8"/>
        <v>0</v>
      </c>
      <c r="AF30" s="127">
        <f t="shared" si="8"/>
        <v>0</v>
      </c>
      <c r="AG30" s="127">
        <f t="shared" si="8"/>
        <v>0</v>
      </c>
      <c r="AH30" s="127">
        <f t="shared" si="8"/>
        <v>0</v>
      </c>
      <c r="AI30" s="127">
        <f t="shared" si="8"/>
        <v>0</v>
      </c>
      <c r="AJ30" s="127">
        <f t="shared" si="8"/>
        <v>0</v>
      </c>
      <c r="AK30" s="127">
        <f t="shared" si="8"/>
        <v>0</v>
      </c>
      <c r="AL30" s="127">
        <f t="shared" si="8"/>
        <v>0</v>
      </c>
      <c r="AM30" s="127">
        <f t="shared" si="8"/>
        <v>0</v>
      </c>
      <c r="AN30" s="127">
        <f t="shared" si="8"/>
        <v>0</v>
      </c>
      <c r="AO30" s="127">
        <f t="shared" si="8"/>
        <v>0</v>
      </c>
      <c r="AP30" s="127">
        <f t="shared" si="8"/>
        <v>0</v>
      </c>
      <c r="AQ30" s="127">
        <f t="shared" si="8"/>
        <v>0</v>
      </c>
      <c r="AR30" s="127">
        <f t="shared" si="8"/>
        <v>0</v>
      </c>
      <c r="AS30" s="127">
        <f t="shared" si="8"/>
        <v>0</v>
      </c>
    </row>
    <row r="31" spans="3:45" x14ac:dyDescent="0.3">
      <c r="C31" s="19" t="s">
        <v>366</v>
      </c>
      <c r="D31" s="128"/>
      <c r="E31" s="161">
        <f>'Fin Inputs'!M45</f>
        <v>0</v>
      </c>
      <c r="F31" s="165">
        <f>SUM(F26:F30)</f>
        <v>0</v>
      </c>
      <c r="G31" s="165">
        <f t="shared" ref="G31:AS31" si="9">SUM(G26:G30)</f>
        <v>0</v>
      </c>
      <c r="H31" s="165">
        <f>SUM(H26:H30)</f>
        <v>0</v>
      </c>
      <c r="I31" s="165">
        <f t="shared" si="9"/>
        <v>0</v>
      </c>
      <c r="J31" s="165">
        <f t="shared" si="9"/>
        <v>0</v>
      </c>
      <c r="K31" s="165">
        <f t="shared" si="9"/>
        <v>0</v>
      </c>
      <c r="L31" s="165">
        <f t="shared" si="9"/>
        <v>0</v>
      </c>
      <c r="M31" s="165">
        <f t="shared" si="9"/>
        <v>0</v>
      </c>
      <c r="N31" s="165">
        <f t="shared" si="9"/>
        <v>0</v>
      </c>
      <c r="O31" s="165">
        <f t="shared" si="9"/>
        <v>0</v>
      </c>
      <c r="P31" s="165">
        <f t="shared" si="9"/>
        <v>0</v>
      </c>
      <c r="Q31" s="165">
        <f t="shared" si="9"/>
        <v>0</v>
      </c>
      <c r="R31" s="165">
        <f t="shared" si="9"/>
        <v>0</v>
      </c>
      <c r="S31" s="165">
        <f t="shared" si="9"/>
        <v>0</v>
      </c>
      <c r="T31" s="165">
        <f t="shared" si="9"/>
        <v>0</v>
      </c>
      <c r="U31" s="165">
        <f t="shared" si="9"/>
        <v>0</v>
      </c>
      <c r="V31" s="165">
        <f t="shared" si="9"/>
        <v>0</v>
      </c>
      <c r="W31" s="165">
        <f t="shared" si="9"/>
        <v>0</v>
      </c>
      <c r="X31" s="165">
        <f t="shared" si="9"/>
        <v>0</v>
      </c>
      <c r="Y31" s="165">
        <f t="shared" si="9"/>
        <v>0</v>
      </c>
      <c r="Z31" s="165">
        <f t="shared" si="9"/>
        <v>0</v>
      </c>
      <c r="AA31" s="165">
        <f t="shared" si="9"/>
        <v>0</v>
      </c>
      <c r="AB31" s="165">
        <f t="shared" si="9"/>
        <v>0</v>
      </c>
      <c r="AC31" s="165">
        <f t="shared" si="9"/>
        <v>0</v>
      </c>
      <c r="AD31" s="165">
        <f t="shared" si="9"/>
        <v>0</v>
      </c>
      <c r="AE31" s="165">
        <f t="shared" si="9"/>
        <v>0</v>
      </c>
      <c r="AF31" s="165">
        <f t="shared" si="9"/>
        <v>0</v>
      </c>
      <c r="AG31" s="165">
        <f t="shared" si="9"/>
        <v>0</v>
      </c>
      <c r="AH31" s="165">
        <f t="shared" si="9"/>
        <v>0</v>
      </c>
      <c r="AI31" s="165">
        <f t="shared" si="9"/>
        <v>0</v>
      </c>
      <c r="AJ31" s="165">
        <f t="shared" si="9"/>
        <v>0</v>
      </c>
      <c r="AK31" s="165">
        <f t="shared" si="9"/>
        <v>0</v>
      </c>
      <c r="AL31" s="165">
        <f t="shared" si="9"/>
        <v>0</v>
      </c>
      <c r="AM31" s="165">
        <f t="shared" si="9"/>
        <v>0</v>
      </c>
      <c r="AN31" s="165">
        <f t="shared" si="9"/>
        <v>0</v>
      </c>
      <c r="AO31" s="165">
        <f t="shared" si="9"/>
        <v>0</v>
      </c>
      <c r="AP31" s="165">
        <f t="shared" si="9"/>
        <v>0</v>
      </c>
      <c r="AQ31" s="165">
        <f t="shared" si="9"/>
        <v>0</v>
      </c>
      <c r="AR31" s="165">
        <f t="shared" si="9"/>
        <v>0</v>
      </c>
      <c r="AS31" s="165">
        <f t="shared" si="9"/>
        <v>0</v>
      </c>
    </row>
    <row r="32" spans="3:45" x14ac:dyDescent="0.3">
      <c r="E32" s="163"/>
      <c r="F32" s="127"/>
      <c r="G32" s="127"/>
      <c r="H32" s="127"/>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c r="AF32" s="127"/>
      <c r="AG32" s="127"/>
      <c r="AH32" s="127"/>
      <c r="AI32" s="127"/>
      <c r="AJ32" s="127"/>
      <c r="AK32" s="127"/>
      <c r="AL32" s="127"/>
      <c r="AM32" s="127"/>
      <c r="AN32" s="127"/>
      <c r="AO32" s="127"/>
      <c r="AP32" s="127"/>
      <c r="AQ32" s="127"/>
      <c r="AR32" s="127"/>
      <c r="AS32" s="127"/>
    </row>
    <row r="33" spans="1:45" x14ac:dyDescent="0.3">
      <c r="C33" s="2" t="s">
        <v>367</v>
      </c>
      <c r="D33" s="166">
        <f>totalCapitalCost-E33</f>
        <v>0</v>
      </c>
      <c r="E33" s="167">
        <f>SUM(F33:AS33)</f>
        <v>14041.000000000002</v>
      </c>
      <c r="F33" s="168">
        <f>SUM(F18:F23)+F31</f>
        <v>1170.0833333333333</v>
      </c>
      <c r="G33" s="168">
        <f t="shared" ref="G33:AS33" si="10">SUM(G18:G23)+G31</f>
        <v>1170.0833333333333</v>
      </c>
      <c r="H33" s="168">
        <f t="shared" si="10"/>
        <v>1170.0833333333333</v>
      </c>
      <c r="I33" s="168">
        <f t="shared" si="10"/>
        <v>1170.0833333333333</v>
      </c>
      <c r="J33" s="168">
        <f t="shared" si="10"/>
        <v>1170.0833333333333</v>
      </c>
      <c r="K33" s="168">
        <f t="shared" si="10"/>
        <v>1170.0833333333333</v>
      </c>
      <c r="L33" s="168">
        <f t="shared" si="10"/>
        <v>1170.0833333333333</v>
      </c>
      <c r="M33" s="168">
        <f t="shared" si="10"/>
        <v>1170.0833333333333</v>
      </c>
      <c r="N33" s="168">
        <f t="shared" si="10"/>
        <v>1170.0833333333333</v>
      </c>
      <c r="O33" s="168">
        <f t="shared" si="10"/>
        <v>1170.0833333333333</v>
      </c>
      <c r="P33" s="168">
        <f t="shared" si="10"/>
        <v>1170.0833333333333</v>
      </c>
      <c r="Q33" s="168">
        <f t="shared" si="10"/>
        <v>1170.0833333333333</v>
      </c>
      <c r="R33" s="168">
        <f t="shared" si="10"/>
        <v>0</v>
      </c>
      <c r="S33" s="168">
        <f t="shared" si="10"/>
        <v>0</v>
      </c>
      <c r="T33" s="168">
        <f t="shared" si="10"/>
        <v>0</v>
      </c>
      <c r="U33" s="168">
        <f t="shared" si="10"/>
        <v>0</v>
      </c>
      <c r="V33" s="168">
        <f t="shared" si="10"/>
        <v>0</v>
      </c>
      <c r="W33" s="168">
        <f t="shared" si="10"/>
        <v>0</v>
      </c>
      <c r="X33" s="168">
        <f t="shared" si="10"/>
        <v>0</v>
      </c>
      <c r="Y33" s="168">
        <f t="shared" si="10"/>
        <v>0</v>
      </c>
      <c r="Z33" s="168">
        <f t="shared" si="10"/>
        <v>0</v>
      </c>
      <c r="AA33" s="168">
        <f t="shared" si="10"/>
        <v>0</v>
      </c>
      <c r="AB33" s="168">
        <f t="shared" si="10"/>
        <v>0</v>
      </c>
      <c r="AC33" s="168">
        <f t="shared" si="10"/>
        <v>0</v>
      </c>
      <c r="AD33" s="168">
        <f t="shared" si="10"/>
        <v>0</v>
      </c>
      <c r="AE33" s="168">
        <f t="shared" si="10"/>
        <v>0</v>
      </c>
      <c r="AF33" s="168">
        <f t="shared" si="10"/>
        <v>0</v>
      </c>
      <c r="AG33" s="168">
        <f t="shared" si="10"/>
        <v>0</v>
      </c>
      <c r="AH33" s="168">
        <f t="shared" si="10"/>
        <v>0</v>
      </c>
      <c r="AI33" s="168">
        <f t="shared" si="10"/>
        <v>0</v>
      </c>
      <c r="AJ33" s="168">
        <f t="shared" si="10"/>
        <v>0</v>
      </c>
      <c r="AK33" s="168">
        <f t="shared" si="10"/>
        <v>0</v>
      </c>
      <c r="AL33" s="168">
        <f t="shared" si="10"/>
        <v>0</v>
      </c>
      <c r="AM33" s="168">
        <f t="shared" si="10"/>
        <v>0</v>
      </c>
      <c r="AN33" s="168">
        <f t="shared" si="10"/>
        <v>0</v>
      </c>
      <c r="AO33" s="168">
        <f t="shared" si="10"/>
        <v>0</v>
      </c>
      <c r="AP33" s="168">
        <f t="shared" si="10"/>
        <v>0</v>
      </c>
      <c r="AQ33" s="168">
        <f t="shared" si="10"/>
        <v>0</v>
      </c>
      <c r="AR33" s="168">
        <f t="shared" si="10"/>
        <v>0</v>
      </c>
      <c r="AS33" s="168">
        <f t="shared" si="10"/>
        <v>0</v>
      </c>
    </row>
    <row r="34" spans="1:45" x14ac:dyDescent="0.3">
      <c r="E34" s="163"/>
    </row>
    <row r="35" spans="1:45" x14ac:dyDescent="0.3">
      <c r="C35" s="2" t="s">
        <v>368</v>
      </c>
      <c r="E35" s="163"/>
    </row>
    <row r="36" spans="1:45" x14ac:dyDescent="0.3">
      <c r="A36" s="169">
        <f>E36/$E$38</f>
        <v>0</v>
      </c>
      <c r="C36" s="10" t="s">
        <v>180</v>
      </c>
      <c r="D36" s="170"/>
      <c r="E36" s="161">
        <f>SUM(F36:AS36)</f>
        <v>0</v>
      </c>
      <c r="F36" s="171">
        <f>CHOOSE('Fin Inputs'!$AC$19,F49,F54)</f>
        <v>0</v>
      </c>
      <c r="G36" s="171">
        <f>CHOOSE('Fin Inputs'!$AC$19,G49,G54)</f>
        <v>0</v>
      </c>
      <c r="H36" s="171">
        <f>CHOOSE('Fin Inputs'!$AC$19,H49,H54)</f>
        <v>0</v>
      </c>
      <c r="I36" s="171">
        <f>CHOOSE('Fin Inputs'!$AC$19,I49,I54)</f>
        <v>0</v>
      </c>
      <c r="J36" s="171">
        <f>CHOOSE('Fin Inputs'!$AC$19,J49,J54)</f>
        <v>0</v>
      </c>
      <c r="K36" s="171">
        <f>CHOOSE('Fin Inputs'!$AC$19,K49,K54)</f>
        <v>0</v>
      </c>
      <c r="L36" s="171">
        <f>CHOOSE('Fin Inputs'!$AC$19,L49,L54)</f>
        <v>0</v>
      </c>
      <c r="M36" s="171">
        <f>CHOOSE('Fin Inputs'!$AC$19,M49,M54)</f>
        <v>0</v>
      </c>
      <c r="N36" s="171">
        <f>CHOOSE('Fin Inputs'!$AC$19,N49,N54)</f>
        <v>0</v>
      </c>
      <c r="O36" s="171">
        <f>CHOOSE('Fin Inputs'!$AC$19,O49,O54)</f>
        <v>0</v>
      </c>
      <c r="P36" s="171">
        <f>CHOOSE('Fin Inputs'!$AC$19,P49,P54)</f>
        <v>0</v>
      </c>
      <c r="Q36" s="171">
        <f>CHOOSE('Fin Inputs'!$AC$19,Q49,Q54)</f>
        <v>0</v>
      </c>
      <c r="R36" s="171">
        <f>CHOOSE('Fin Inputs'!$AC$19,R49,R54)</f>
        <v>0</v>
      </c>
      <c r="S36" s="171">
        <f>CHOOSE('Fin Inputs'!$AC$19,S49,S54)</f>
        <v>0</v>
      </c>
      <c r="T36" s="171">
        <f>CHOOSE('Fin Inputs'!$AC$19,T49,T54)</f>
        <v>0</v>
      </c>
      <c r="U36" s="171">
        <f>CHOOSE('Fin Inputs'!$AC$19,U49,U54)</f>
        <v>0</v>
      </c>
      <c r="V36" s="171">
        <f>CHOOSE('Fin Inputs'!$AC$19,V49,V54)</f>
        <v>0</v>
      </c>
      <c r="W36" s="171">
        <f>CHOOSE('Fin Inputs'!$AC$19,W49,W54)</f>
        <v>0</v>
      </c>
      <c r="X36" s="171">
        <f>CHOOSE('Fin Inputs'!$AC$19,X49,X54)</f>
        <v>0</v>
      </c>
      <c r="Y36" s="171">
        <f>CHOOSE('Fin Inputs'!$AC$19,Y49,Y54)</f>
        <v>0</v>
      </c>
      <c r="Z36" s="171">
        <f>CHOOSE('Fin Inputs'!$AC$19,Z49,Z54)</f>
        <v>0</v>
      </c>
      <c r="AA36" s="171">
        <f>CHOOSE('Fin Inputs'!$AC$19,AA49,AA54)</f>
        <v>0</v>
      </c>
      <c r="AB36" s="171">
        <f>CHOOSE('Fin Inputs'!$AC$19,AB49,AB54)</f>
        <v>0</v>
      </c>
      <c r="AC36" s="171">
        <f>CHOOSE('Fin Inputs'!$AC$19,AC49,AC54)</f>
        <v>0</v>
      </c>
      <c r="AD36" s="171">
        <f>CHOOSE('Fin Inputs'!$AC$19,AD49,AD54)</f>
        <v>0</v>
      </c>
      <c r="AE36" s="171">
        <f>CHOOSE('Fin Inputs'!$AC$19,AE49,AE54)</f>
        <v>0</v>
      </c>
      <c r="AF36" s="171">
        <f>CHOOSE('Fin Inputs'!$AC$19,AF49,AF54)</f>
        <v>0</v>
      </c>
      <c r="AG36" s="171">
        <f>CHOOSE('Fin Inputs'!$AC$19,AG49,AG54)</f>
        <v>0</v>
      </c>
      <c r="AH36" s="171">
        <f>CHOOSE('Fin Inputs'!$AC$19,AH49,AH54)</f>
        <v>0</v>
      </c>
      <c r="AI36" s="171">
        <f>CHOOSE('Fin Inputs'!$AC$19,AI49,AI54)</f>
        <v>0</v>
      </c>
      <c r="AJ36" s="171">
        <f>CHOOSE('Fin Inputs'!$AC$19,AJ49,AJ54)</f>
        <v>0</v>
      </c>
      <c r="AK36" s="171">
        <f>CHOOSE('Fin Inputs'!$AC$19,AK49,AK54)</f>
        <v>0</v>
      </c>
      <c r="AL36" s="171">
        <f>CHOOSE('Fin Inputs'!$AC$19,AL49,AL54)</f>
        <v>0</v>
      </c>
      <c r="AM36" s="171">
        <f>CHOOSE('Fin Inputs'!$AC$19,AM49,AM54)</f>
        <v>0</v>
      </c>
      <c r="AN36" s="171">
        <f>CHOOSE('Fin Inputs'!$AC$19,AN49,AN54)</f>
        <v>0</v>
      </c>
      <c r="AO36" s="171">
        <f>CHOOSE('Fin Inputs'!$AC$19,AO49,AO54)</f>
        <v>0</v>
      </c>
      <c r="AP36" s="171">
        <f>CHOOSE('Fin Inputs'!$AC$19,AP49,AP54)</f>
        <v>0</v>
      </c>
      <c r="AQ36" s="171">
        <f>CHOOSE('Fin Inputs'!$AC$19,AQ49,AQ54)</f>
        <v>0</v>
      </c>
      <c r="AR36" s="171">
        <f>CHOOSE('Fin Inputs'!$AC$19,AR49,AR54)</f>
        <v>0</v>
      </c>
      <c r="AS36" s="171">
        <f>CHOOSE('Fin Inputs'!$AC$19,AS49,AS54)</f>
        <v>0</v>
      </c>
    </row>
    <row r="37" spans="1:45" x14ac:dyDescent="0.3">
      <c r="A37" s="169">
        <f>E37/$E$38</f>
        <v>1</v>
      </c>
      <c r="C37" s="10" t="s">
        <v>79</v>
      </c>
      <c r="D37" s="170"/>
      <c r="E37" s="161">
        <f>SUM(F37:AS37)</f>
        <v>14041.000000000002</v>
      </c>
      <c r="F37" s="171">
        <f>CHOOSE('Fin Inputs'!$AC$19,F50,F55)</f>
        <v>1170.0833333333333</v>
      </c>
      <c r="G37" s="171">
        <f>CHOOSE('Fin Inputs'!$AC$19,G50,G55)</f>
        <v>1170.0833333333333</v>
      </c>
      <c r="H37" s="171">
        <f>CHOOSE('Fin Inputs'!$AC$19,H50,H55)</f>
        <v>1170.0833333333333</v>
      </c>
      <c r="I37" s="171">
        <f>CHOOSE('Fin Inputs'!$AC$19,I50,I55)</f>
        <v>1170.0833333333333</v>
      </c>
      <c r="J37" s="171">
        <f>CHOOSE('Fin Inputs'!$AC$19,J50,J55)</f>
        <v>1170.0833333333333</v>
      </c>
      <c r="K37" s="171">
        <f>CHOOSE('Fin Inputs'!$AC$19,K50,K55)</f>
        <v>1170.0833333333333</v>
      </c>
      <c r="L37" s="171">
        <f>CHOOSE('Fin Inputs'!$AC$19,L50,L55)</f>
        <v>1170.0833333333333</v>
      </c>
      <c r="M37" s="171">
        <f>CHOOSE('Fin Inputs'!$AC$19,M50,M55)</f>
        <v>1170.0833333333333</v>
      </c>
      <c r="N37" s="171">
        <f>CHOOSE('Fin Inputs'!$AC$19,N50,N55)</f>
        <v>1170.0833333333333</v>
      </c>
      <c r="O37" s="171">
        <f>CHOOSE('Fin Inputs'!$AC$19,O50,O55)</f>
        <v>1170.0833333333333</v>
      </c>
      <c r="P37" s="171">
        <f>CHOOSE('Fin Inputs'!$AC$19,P50,P55)</f>
        <v>1170.0833333333333</v>
      </c>
      <c r="Q37" s="171">
        <f>CHOOSE('Fin Inputs'!$AC$19,Q50,Q55)</f>
        <v>1170.0833333333333</v>
      </c>
      <c r="R37" s="171">
        <f>CHOOSE('Fin Inputs'!$AC$19,R50,R55)</f>
        <v>0</v>
      </c>
      <c r="S37" s="171">
        <f>CHOOSE('Fin Inputs'!$AC$19,S50,S55)</f>
        <v>0</v>
      </c>
      <c r="T37" s="171">
        <f>CHOOSE('Fin Inputs'!$AC$19,T50,T55)</f>
        <v>0</v>
      </c>
      <c r="U37" s="171">
        <f>CHOOSE('Fin Inputs'!$AC$19,U50,U55)</f>
        <v>0</v>
      </c>
      <c r="V37" s="171">
        <f>CHOOSE('Fin Inputs'!$AC$19,V50,V55)</f>
        <v>0</v>
      </c>
      <c r="W37" s="171">
        <f>CHOOSE('Fin Inputs'!$AC$19,W50,W55)</f>
        <v>0</v>
      </c>
      <c r="X37" s="171">
        <f>CHOOSE('Fin Inputs'!$AC$19,X50,X55)</f>
        <v>0</v>
      </c>
      <c r="Y37" s="171">
        <f>CHOOSE('Fin Inputs'!$AC$19,Y50,Y55)</f>
        <v>0</v>
      </c>
      <c r="Z37" s="171">
        <f>CHOOSE('Fin Inputs'!$AC$19,Z50,Z55)</f>
        <v>0</v>
      </c>
      <c r="AA37" s="171">
        <f>CHOOSE('Fin Inputs'!$AC$19,AA50,AA55)</f>
        <v>0</v>
      </c>
      <c r="AB37" s="171">
        <f>CHOOSE('Fin Inputs'!$AC$19,AB50,AB55)</f>
        <v>0</v>
      </c>
      <c r="AC37" s="171">
        <f>CHOOSE('Fin Inputs'!$AC$19,AC50,AC55)</f>
        <v>0</v>
      </c>
      <c r="AD37" s="171">
        <f>CHOOSE('Fin Inputs'!$AC$19,AD50,AD55)</f>
        <v>0</v>
      </c>
      <c r="AE37" s="171">
        <f>CHOOSE('Fin Inputs'!$AC$19,AE50,AE55)</f>
        <v>0</v>
      </c>
      <c r="AF37" s="171">
        <f>CHOOSE('Fin Inputs'!$AC$19,AF50,AF55)</f>
        <v>0</v>
      </c>
      <c r="AG37" s="171">
        <f>CHOOSE('Fin Inputs'!$AC$19,AG50,AG55)</f>
        <v>0</v>
      </c>
      <c r="AH37" s="171">
        <f>CHOOSE('Fin Inputs'!$AC$19,AH50,AH55)</f>
        <v>0</v>
      </c>
      <c r="AI37" s="171">
        <f>CHOOSE('Fin Inputs'!$AC$19,AI50,AI55)</f>
        <v>0</v>
      </c>
      <c r="AJ37" s="171">
        <f>CHOOSE('Fin Inputs'!$AC$19,AJ50,AJ55)</f>
        <v>0</v>
      </c>
      <c r="AK37" s="171">
        <f>CHOOSE('Fin Inputs'!$AC$19,AK50,AK55)</f>
        <v>0</v>
      </c>
      <c r="AL37" s="171">
        <f>CHOOSE('Fin Inputs'!$AC$19,AL50,AL55)</f>
        <v>0</v>
      </c>
      <c r="AM37" s="171">
        <f>CHOOSE('Fin Inputs'!$AC$19,AM50,AM55)</f>
        <v>0</v>
      </c>
      <c r="AN37" s="171">
        <f>CHOOSE('Fin Inputs'!$AC$19,AN50,AN55)</f>
        <v>0</v>
      </c>
      <c r="AO37" s="171">
        <f>CHOOSE('Fin Inputs'!$AC$19,AO50,AO55)</f>
        <v>0</v>
      </c>
      <c r="AP37" s="171">
        <f>CHOOSE('Fin Inputs'!$AC$19,AP50,AP55)</f>
        <v>0</v>
      </c>
      <c r="AQ37" s="171">
        <f>CHOOSE('Fin Inputs'!$AC$19,AQ50,AQ55)</f>
        <v>0</v>
      </c>
      <c r="AR37" s="171">
        <f>CHOOSE('Fin Inputs'!$AC$19,AR50,AR55)</f>
        <v>0</v>
      </c>
      <c r="AS37" s="171">
        <f>CHOOSE('Fin Inputs'!$AC$19,AS50,AS55)</f>
        <v>0</v>
      </c>
    </row>
    <row r="38" spans="1:45" x14ac:dyDescent="0.3">
      <c r="C38" s="10" t="s">
        <v>369</v>
      </c>
      <c r="D38" s="170"/>
      <c r="E38" s="167">
        <f>SUM(F38:AS38)</f>
        <v>14041.000000000002</v>
      </c>
      <c r="F38" s="172">
        <f>SUM(F36:F37)</f>
        <v>1170.0833333333333</v>
      </c>
      <c r="G38" s="172">
        <f t="shared" ref="G38:AS38" si="11">SUM(G36:G37)</f>
        <v>1170.0833333333333</v>
      </c>
      <c r="H38" s="172">
        <f t="shared" si="11"/>
        <v>1170.0833333333333</v>
      </c>
      <c r="I38" s="172">
        <f t="shared" si="11"/>
        <v>1170.0833333333333</v>
      </c>
      <c r="J38" s="172">
        <f t="shared" si="11"/>
        <v>1170.0833333333333</v>
      </c>
      <c r="K38" s="172">
        <f t="shared" si="11"/>
        <v>1170.0833333333333</v>
      </c>
      <c r="L38" s="172">
        <f t="shared" si="11"/>
        <v>1170.0833333333333</v>
      </c>
      <c r="M38" s="172">
        <f t="shared" si="11"/>
        <v>1170.0833333333333</v>
      </c>
      <c r="N38" s="172">
        <f t="shared" si="11"/>
        <v>1170.0833333333333</v>
      </c>
      <c r="O38" s="172">
        <f t="shared" si="11"/>
        <v>1170.0833333333333</v>
      </c>
      <c r="P38" s="172">
        <f t="shared" si="11"/>
        <v>1170.0833333333333</v>
      </c>
      <c r="Q38" s="172">
        <f t="shared" si="11"/>
        <v>1170.0833333333333</v>
      </c>
      <c r="R38" s="172">
        <f t="shared" si="11"/>
        <v>0</v>
      </c>
      <c r="S38" s="172">
        <f t="shared" si="11"/>
        <v>0</v>
      </c>
      <c r="T38" s="172">
        <f t="shared" si="11"/>
        <v>0</v>
      </c>
      <c r="U38" s="172">
        <f t="shared" si="11"/>
        <v>0</v>
      </c>
      <c r="V38" s="172">
        <f t="shared" si="11"/>
        <v>0</v>
      </c>
      <c r="W38" s="172">
        <f t="shared" si="11"/>
        <v>0</v>
      </c>
      <c r="X38" s="172">
        <f t="shared" si="11"/>
        <v>0</v>
      </c>
      <c r="Y38" s="172">
        <f t="shared" si="11"/>
        <v>0</v>
      </c>
      <c r="Z38" s="172">
        <f t="shared" si="11"/>
        <v>0</v>
      </c>
      <c r="AA38" s="172">
        <f t="shared" si="11"/>
        <v>0</v>
      </c>
      <c r="AB38" s="172">
        <f t="shared" si="11"/>
        <v>0</v>
      </c>
      <c r="AC38" s="172">
        <f t="shared" si="11"/>
        <v>0</v>
      </c>
      <c r="AD38" s="172">
        <f t="shared" si="11"/>
        <v>0</v>
      </c>
      <c r="AE38" s="172">
        <f t="shared" si="11"/>
        <v>0</v>
      </c>
      <c r="AF38" s="172">
        <f t="shared" si="11"/>
        <v>0</v>
      </c>
      <c r="AG38" s="172">
        <f t="shared" si="11"/>
        <v>0</v>
      </c>
      <c r="AH38" s="172">
        <f t="shared" si="11"/>
        <v>0</v>
      </c>
      <c r="AI38" s="172">
        <f t="shared" si="11"/>
        <v>0</v>
      </c>
      <c r="AJ38" s="172">
        <f t="shared" si="11"/>
        <v>0</v>
      </c>
      <c r="AK38" s="172">
        <f t="shared" si="11"/>
        <v>0</v>
      </c>
      <c r="AL38" s="172">
        <f t="shared" si="11"/>
        <v>0</v>
      </c>
      <c r="AM38" s="172">
        <f t="shared" si="11"/>
        <v>0</v>
      </c>
      <c r="AN38" s="172">
        <f t="shared" si="11"/>
        <v>0</v>
      </c>
      <c r="AO38" s="172">
        <f t="shared" si="11"/>
        <v>0</v>
      </c>
      <c r="AP38" s="172">
        <f t="shared" si="11"/>
        <v>0</v>
      </c>
      <c r="AQ38" s="172">
        <f t="shared" si="11"/>
        <v>0</v>
      </c>
      <c r="AR38" s="172">
        <f t="shared" si="11"/>
        <v>0</v>
      </c>
      <c r="AS38" s="172">
        <f t="shared" si="11"/>
        <v>0</v>
      </c>
    </row>
    <row r="39" spans="1:45" x14ac:dyDescent="0.3">
      <c r="D39" s="173"/>
      <c r="E39" s="163"/>
    </row>
    <row r="40" spans="1:45" x14ac:dyDescent="0.3">
      <c r="C40" s="174" t="s">
        <v>180</v>
      </c>
      <c r="D40" s="173"/>
      <c r="E40" s="163"/>
    </row>
    <row r="41" spans="1:45" x14ac:dyDescent="0.3">
      <c r="C41" s="10" t="s">
        <v>370</v>
      </c>
      <c r="D41" s="173"/>
      <c r="E41" s="163"/>
      <c r="F41" s="41">
        <f>SUM($F$36:F36)*F$9</f>
        <v>0</v>
      </c>
      <c r="G41" s="41">
        <f>SUM($F$36:G36)*G$9</f>
        <v>0</v>
      </c>
      <c r="H41" s="41">
        <f>SUM($F$36:H36)*H$9</f>
        <v>0</v>
      </c>
      <c r="I41" s="41">
        <f>SUM($F$36:I36)*I$9</f>
        <v>0</v>
      </c>
      <c r="J41" s="41">
        <f>SUM($F$36:J36)*J$9</f>
        <v>0</v>
      </c>
      <c r="K41" s="41">
        <f>SUM($F$36:K36)*K$9</f>
        <v>0</v>
      </c>
      <c r="L41" s="41">
        <f>SUM($F$36:L36)*L$9</f>
        <v>0</v>
      </c>
      <c r="M41" s="41">
        <f>SUM($F$36:M36)*M$9</f>
        <v>0</v>
      </c>
      <c r="N41" s="41">
        <f>SUM($F$36:N36)*N$9</f>
        <v>0</v>
      </c>
      <c r="O41" s="41">
        <f>SUM($F$36:O36)*O$9</f>
        <v>0</v>
      </c>
      <c r="P41" s="41">
        <f>SUM($F$36:P36)*P$9</f>
        <v>0</v>
      </c>
      <c r="Q41" s="41">
        <f>SUM($F$36:Q36)*Q$9</f>
        <v>0</v>
      </c>
      <c r="R41" s="41">
        <f>SUM($F$36:R36)*R$9</f>
        <v>0</v>
      </c>
      <c r="S41" s="41">
        <f>SUM($F$36:S36)*S$9</f>
        <v>0</v>
      </c>
      <c r="T41" s="41">
        <f>SUM($F$36:T36)*T$9</f>
        <v>0</v>
      </c>
      <c r="U41" s="41">
        <f>SUM($F$36:U36)*U$9</f>
        <v>0</v>
      </c>
      <c r="V41" s="41">
        <f>SUM($F$36:V36)*V$9</f>
        <v>0</v>
      </c>
      <c r="W41" s="41">
        <f>SUM($F$36:W36)*W$9</f>
        <v>0</v>
      </c>
      <c r="X41" s="41">
        <f>SUM($F$36:X36)*X$9</f>
        <v>0</v>
      </c>
      <c r="Y41" s="41">
        <f>SUM($F$36:Y36)*Y$9</f>
        <v>0</v>
      </c>
      <c r="Z41" s="41">
        <f>SUM($F$36:Z36)*Z$9</f>
        <v>0</v>
      </c>
      <c r="AA41" s="41">
        <f>SUM($F$36:AA36)*AA$9</f>
        <v>0</v>
      </c>
      <c r="AB41" s="41">
        <f>SUM($F$36:AB36)*AB$9</f>
        <v>0</v>
      </c>
      <c r="AC41" s="41">
        <f>SUM($F$36:AC36)*AC$9</f>
        <v>0</v>
      </c>
      <c r="AD41" s="41">
        <f>SUM($F$36:AD36)*AD$9</f>
        <v>0</v>
      </c>
      <c r="AE41" s="41">
        <f>SUM($F$36:AE36)*AE$9</f>
        <v>0</v>
      </c>
      <c r="AF41" s="41">
        <f>SUM($F$36:AF36)*AF$9</f>
        <v>0</v>
      </c>
      <c r="AG41" s="41">
        <f>SUM($F$36:AG36)*AG$9</f>
        <v>0</v>
      </c>
      <c r="AH41" s="41">
        <f>SUM($F$36:AH36)*AH$9</f>
        <v>0</v>
      </c>
      <c r="AI41" s="41">
        <f>SUM($F$36:AI36)*AI$9</f>
        <v>0</v>
      </c>
      <c r="AJ41" s="41">
        <f>SUM($F$36:AJ36)*AJ$9</f>
        <v>0</v>
      </c>
      <c r="AK41" s="41">
        <f>SUM($F$36:AK36)*AK$9</f>
        <v>0</v>
      </c>
      <c r="AL41" s="41">
        <f>SUM($F$36:AL36)*AL$9</f>
        <v>0</v>
      </c>
      <c r="AM41" s="41">
        <f>SUM($F$36:AM36)*AM$9</f>
        <v>0</v>
      </c>
      <c r="AN41" s="41">
        <f>SUM($F$36:AN36)*AN$9</f>
        <v>0</v>
      </c>
      <c r="AO41" s="41">
        <f>SUM($F$36:AO36)*AO$9</f>
        <v>0</v>
      </c>
      <c r="AP41" s="41">
        <f>SUM($F$36:AP36)*AP$9</f>
        <v>0</v>
      </c>
      <c r="AQ41" s="41">
        <f>SUM($F$36:AQ36)*AQ$9</f>
        <v>0</v>
      </c>
      <c r="AR41" s="41">
        <f>SUM($F$36:AR36)*AR$9</f>
        <v>0</v>
      </c>
      <c r="AS41" s="41">
        <f>SUM($F$36:AS36)*AS$9</f>
        <v>0</v>
      </c>
    </row>
    <row r="42" spans="1:45" x14ac:dyDescent="0.3">
      <c r="C42" s="10" t="s">
        <v>371</v>
      </c>
      <c r="D42" s="175">
        <f>(1+'Fin Inputs'!$AC$16)^(1/12) - 1</f>
        <v>5.6541453874052738E-3</v>
      </c>
      <c r="E42" s="161">
        <f>SUM(F42:AS42)</f>
        <v>0</v>
      </c>
      <c r="F42" s="171">
        <v>0</v>
      </c>
      <c r="G42" s="171">
        <f>F41*$D$42*G$9</f>
        <v>0</v>
      </c>
      <c r="H42" s="171">
        <f>G41*$D$42*H$9</f>
        <v>0</v>
      </c>
      <c r="I42" s="171">
        <f t="shared" ref="I42:AS42" si="12">H41*$D$42*I$9</f>
        <v>0</v>
      </c>
      <c r="J42" s="171">
        <f t="shared" si="12"/>
        <v>0</v>
      </c>
      <c r="K42" s="171">
        <f t="shared" si="12"/>
        <v>0</v>
      </c>
      <c r="L42" s="171">
        <f t="shared" si="12"/>
        <v>0</v>
      </c>
      <c r="M42" s="171">
        <f t="shared" si="12"/>
        <v>0</v>
      </c>
      <c r="N42" s="171">
        <f t="shared" si="12"/>
        <v>0</v>
      </c>
      <c r="O42" s="171">
        <f t="shared" si="12"/>
        <v>0</v>
      </c>
      <c r="P42" s="171">
        <f t="shared" si="12"/>
        <v>0</v>
      </c>
      <c r="Q42" s="171">
        <f t="shared" si="12"/>
        <v>0</v>
      </c>
      <c r="R42" s="171">
        <f t="shared" si="12"/>
        <v>0</v>
      </c>
      <c r="S42" s="171">
        <f t="shared" si="12"/>
        <v>0</v>
      </c>
      <c r="T42" s="171">
        <f t="shared" si="12"/>
        <v>0</v>
      </c>
      <c r="U42" s="171">
        <f t="shared" si="12"/>
        <v>0</v>
      </c>
      <c r="V42" s="171">
        <f t="shared" si="12"/>
        <v>0</v>
      </c>
      <c r="W42" s="171">
        <f t="shared" si="12"/>
        <v>0</v>
      </c>
      <c r="X42" s="171">
        <f t="shared" si="12"/>
        <v>0</v>
      </c>
      <c r="Y42" s="171">
        <f t="shared" si="12"/>
        <v>0</v>
      </c>
      <c r="Z42" s="171">
        <f t="shared" si="12"/>
        <v>0</v>
      </c>
      <c r="AA42" s="171">
        <f t="shared" si="12"/>
        <v>0</v>
      </c>
      <c r="AB42" s="171">
        <f t="shared" si="12"/>
        <v>0</v>
      </c>
      <c r="AC42" s="171">
        <f t="shared" si="12"/>
        <v>0</v>
      </c>
      <c r="AD42" s="171">
        <f t="shared" si="12"/>
        <v>0</v>
      </c>
      <c r="AE42" s="171">
        <f t="shared" si="12"/>
        <v>0</v>
      </c>
      <c r="AF42" s="171">
        <f t="shared" si="12"/>
        <v>0</v>
      </c>
      <c r="AG42" s="171">
        <f t="shared" si="12"/>
        <v>0</v>
      </c>
      <c r="AH42" s="171">
        <f t="shared" si="12"/>
        <v>0</v>
      </c>
      <c r="AI42" s="171">
        <f t="shared" si="12"/>
        <v>0</v>
      </c>
      <c r="AJ42" s="171">
        <f t="shared" si="12"/>
        <v>0</v>
      </c>
      <c r="AK42" s="171">
        <f t="shared" si="12"/>
        <v>0</v>
      </c>
      <c r="AL42" s="171">
        <f t="shared" si="12"/>
        <v>0</v>
      </c>
      <c r="AM42" s="171">
        <f t="shared" si="12"/>
        <v>0</v>
      </c>
      <c r="AN42" s="171">
        <f t="shared" si="12"/>
        <v>0</v>
      </c>
      <c r="AO42" s="171">
        <f t="shared" si="12"/>
        <v>0</v>
      </c>
      <c r="AP42" s="171">
        <f t="shared" si="12"/>
        <v>0</v>
      </c>
      <c r="AQ42" s="171">
        <f t="shared" si="12"/>
        <v>0</v>
      </c>
      <c r="AR42" s="171">
        <f t="shared" si="12"/>
        <v>0</v>
      </c>
      <c r="AS42" s="171">
        <f t="shared" si="12"/>
        <v>0</v>
      </c>
    </row>
    <row r="43" spans="1:45" x14ac:dyDescent="0.3">
      <c r="D43" s="173"/>
      <c r="E43" s="163"/>
    </row>
    <row r="44" spans="1:45" x14ac:dyDescent="0.3">
      <c r="C44" s="10" t="s">
        <v>372</v>
      </c>
      <c r="D44" s="173"/>
      <c r="E44" s="163"/>
      <c r="F44" s="41">
        <f>('Fin Inputs'!$AC$14-F$41)*F$9</f>
        <v>0</v>
      </c>
      <c r="G44" s="41">
        <f>('Fin Inputs'!$AC$14-G$41)*G$9</f>
        <v>0</v>
      </c>
      <c r="H44" s="41">
        <f>('Fin Inputs'!$AC$14-H$41)*H$9</f>
        <v>0</v>
      </c>
      <c r="I44" s="41">
        <f>('Fin Inputs'!$AC$14-I$41)*I$9</f>
        <v>0</v>
      </c>
      <c r="J44" s="41">
        <f>('Fin Inputs'!$AC$14-J$41)*J$9</f>
        <v>0</v>
      </c>
      <c r="K44" s="41">
        <f>('Fin Inputs'!$AC$14-K$41)*K$9</f>
        <v>0</v>
      </c>
      <c r="L44" s="41">
        <f>('Fin Inputs'!$AC$14-L$41)*L$9</f>
        <v>0</v>
      </c>
      <c r="M44" s="41">
        <f>('Fin Inputs'!$AC$14-M$41)*M$9</f>
        <v>0</v>
      </c>
      <c r="N44" s="41">
        <f>('Fin Inputs'!$AC$14-N$41)*N$9</f>
        <v>0</v>
      </c>
      <c r="O44" s="41">
        <f>('Fin Inputs'!$AC$14-O$41)*O$9</f>
        <v>0</v>
      </c>
      <c r="P44" s="41">
        <f>('Fin Inputs'!$AC$14-P$41)*P$9</f>
        <v>0</v>
      </c>
      <c r="Q44" s="41">
        <f>('Fin Inputs'!$AC$14-Q$41)*Q$9</f>
        <v>0</v>
      </c>
      <c r="R44" s="41">
        <f>('Fin Inputs'!$AC$14-R$41)*R$9</f>
        <v>0</v>
      </c>
      <c r="S44" s="41">
        <f>('Fin Inputs'!$AC$14-S$41)*S$9</f>
        <v>0</v>
      </c>
      <c r="T44" s="41">
        <f>('Fin Inputs'!$AC$14-T$41)*T$9</f>
        <v>0</v>
      </c>
      <c r="U44" s="41">
        <f>('Fin Inputs'!$AC$14-U$41)*U$9</f>
        <v>0</v>
      </c>
      <c r="V44" s="41">
        <f>('Fin Inputs'!$AC$14-V$41)*V$9</f>
        <v>0</v>
      </c>
      <c r="W44" s="41">
        <f>('Fin Inputs'!$AC$14-W$41)*W$9</f>
        <v>0</v>
      </c>
      <c r="X44" s="41">
        <f>('Fin Inputs'!$AC$14-X$41)*X$9</f>
        <v>0</v>
      </c>
      <c r="Y44" s="41">
        <f>('Fin Inputs'!$AC$14-Y$41)*Y$9</f>
        <v>0</v>
      </c>
      <c r="Z44" s="41">
        <f>('Fin Inputs'!$AC$14-Z$41)*Z$9</f>
        <v>0</v>
      </c>
      <c r="AA44" s="41">
        <f>('Fin Inputs'!$AC$14-AA$41)*AA$9</f>
        <v>0</v>
      </c>
      <c r="AB44" s="41">
        <f>('Fin Inputs'!$AC$14-AB$41)*AB$9</f>
        <v>0</v>
      </c>
      <c r="AC44" s="41">
        <f>('Fin Inputs'!$AC$14-AC$41)*AC$9</f>
        <v>0</v>
      </c>
      <c r="AD44" s="41">
        <f>('Fin Inputs'!$AC$14-AD$41)*AD$9</f>
        <v>0</v>
      </c>
      <c r="AE44" s="41">
        <f>('Fin Inputs'!$AC$14-AE$41)*AE$9</f>
        <v>0</v>
      </c>
      <c r="AF44" s="41">
        <f>('Fin Inputs'!$AC$14-AF$41)*AF$9</f>
        <v>0</v>
      </c>
      <c r="AG44" s="41">
        <f>('Fin Inputs'!$AC$14-AG$41)*AG$9</f>
        <v>0</v>
      </c>
      <c r="AH44" s="41">
        <f>('Fin Inputs'!$AC$14-AH$41)*AH$9</f>
        <v>0</v>
      </c>
      <c r="AI44" s="41">
        <f>('Fin Inputs'!$AC$14-AI$41)*AI$9</f>
        <v>0</v>
      </c>
      <c r="AJ44" s="41">
        <f>('Fin Inputs'!$AC$14-AJ$41)*AJ$9</f>
        <v>0</v>
      </c>
      <c r="AK44" s="41">
        <f>('Fin Inputs'!$AC$14-AK$41)*AK$9</f>
        <v>0</v>
      </c>
      <c r="AL44" s="41">
        <f>('Fin Inputs'!$AC$14-AL$41)*AL$9</f>
        <v>0</v>
      </c>
      <c r="AM44" s="41">
        <f>('Fin Inputs'!$AC$14-AM$41)*AM$9</f>
        <v>0</v>
      </c>
      <c r="AN44" s="41">
        <f>('Fin Inputs'!$AC$14-AN$41)*AN$9</f>
        <v>0</v>
      </c>
      <c r="AO44" s="41">
        <f>('Fin Inputs'!$AC$14-AO$41)*AO$9</f>
        <v>0</v>
      </c>
      <c r="AP44" s="41">
        <f>('Fin Inputs'!$AC$14-AP$41)*AP$9</f>
        <v>0</v>
      </c>
      <c r="AQ44" s="41">
        <f>('Fin Inputs'!$AC$14-AQ$41)*AQ$9</f>
        <v>0</v>
      </c>
      <c r="AR44" s="41">
        <f>('Fin Inputs'!$AC$14-AR$41)*AR$9</f>
        <v>0</v>
      </c>
      <c r="AS44" s="41">
        <f>('Fin Inputs'!$AC$14-AS$41)*AS$9</f>
        <v>0</v>
      </c>
    </row>
    <row r="45" spans="1:45" x14ac:dyDescent="0.3">
      <c r="C45" s="10" t="s">
        <v>373</v>
      </c>
      <c r="D45" s="175">
        <f>(1+'Fin Inputs'!$AC$18)^(1/12) - 1</f>
        <v>0</v>
      </c>
      <c r="E45" s="161">
        <f>SUM(F45:AS45)</f>
        <v>0</v>
      </c>
      <c r="F45" s="176">
        <f>'Fin Inputs'!$AC$14*$D$45</f>
        <v>0</v>
      </c>
      <c r="G45" s="171">
        <f>F44*$D$45*G$9</f>
        <v>0</v>
      </c>
      <c r="H45" s="171">
        <f t="shared" ref="H45:AS45" si="13">G44*$D$45*H$9</f>
        <v>0</v>
      </c>
      <c r="I45" s="171">
        <f t="shared" si="13"/>
        <v>0</v>
      </c>
      <c r="J45" s="171">
        <f t="shared" si="13"/>
        <v>0</v>
      </c>
      <c r="K45" s="171">
        <f t="shared" si="13"/>
        <v>0</v>
      </c>
      <c r="L45" s="171">
        <f t="shared" si="13"/>
        <v>0</v>
      </c>
      <c r="M45" s="171">
        <f t="shared" si="13"/>
        <v>0</v>
      </c>
      <c r="N45" s="171">
        <f t="shared" si="13"/>
        <v>0</v>
      </c>
      <c r="O45" s="171">
        <f t="shared" si="13"/>
        <v>0</v>
      </c>
      <c r="P45" s="171">
        <f t="shared" si="13"/>
        <v>0</v>
      </c>
      <c r="Q45" s="171">
        <f t="shared" si="13"/>
        <v>0</v>
      </c>
      <c r="R45" s="171">
        <f t="shared" si="13"/>
        <v>0</v>
      </c>
      <c r="S45" s="171">
        <f t="shared" si="13"/>
        <v>0</v>
      </c>
      <c r="T45" s="171">
        <f t="shared" si="13"/>
        <v>0</v>
      </c>
      <c r="U45" s="171">
        <f t="shared" si="13"/>
        <v>0</v>
      </c>
      <c r="V45" s="171">
        <f t="shared" si="13"/>
        <v>0</v>
      </c>
      <c r="W45" s="171">
        <f t="shared" si="13"/>
        <v>0</v>
      </c>
      <c r="X45" s="171">
        <f t="shared" si="13"/>
        <v>0</v>
      </c>
      <c r="Y45" s="171">
        <f t="shared" si="13"/>
        <v>0</v>
      </c>
      <c r="Z45" s="171">
        <f t="shared" si="13"/>
        <v>0</v>
      </c>
      <c r="AA45" s="171">
        <f t="shared" si="13"/>
        <v>0</v>
      </c>
      <c r="AB45" s="171">
        <f t="shared" si="13"/>
        <v>0</v>
      </c>
      <c r="AC45" s="171">
        <f t="shared" si="13"/>
        <v>0</v>
      </c>
      <c r="AD45" s="171">
        <f t="shared" si="13"/>
        <v>0</v>
      </c>
      <c r="AE45" s="171">
        <f t="shared" si="13"/>
        <v>0</v>
      </c>
      <c r="AF45" s="171">
        <f t="shared" si="13"/>
        <v>0</v>
      </c>
      <c r="AG45" s="171">
        <f t="shared" si="13"/>
        <v>0</v>
      </c>
      <c r="AH45" s="171">
        <f t="shared" si="13"/>
        <v>0</v>
      </c>
      <c r="AI45" s="171">
        <f t="shared" si="13"/>
        <v>0</v>
      </c>
      <c r="AJ45" s="171">
        <f t="shared" si="13"/>
        <v>0</v>
      </c>
      <c r="AK45" s="171">
        <f t="shared" si="13"/>
        <v>0</v>
      </c>
      <c r="AL45" s="171">
        <f t="shared" si="13"/>
        <v>0</v>
      </c>
      <c r="AM45" s="171">
        <f t="shared" si="13"/>
        <v>0</v>
      </c>
      <c r="AN45" s="171">
        <f t="shared" si="13"/>
        <v>0</v>
      </c>
      <c r="AO45" s="171">
        <f t="shared" si="13"/>
        <v>0</v>
      </c>
      <c r="AP45" s="171">
        <f t="shared" si="13"/>
        <v>0</v>
      </c>
      <c r="AQ45" s="171">
        <f t="shared" si="13"/>
        <v>0</v>
      </c>
      <c r="AR45" s="171">
        <f t="shared" si="13"/>
        <v>0</v>
      </c>
      <c r="AS45" s="171">
        <f t="shared" si="13"/>
        <v>0</v>
      </c>
    </row>
    <row r="46" spans="1:45" x14ac:dyDescent="0.3">
      <c r="E46" s="163"/>
    </row>
    <row r="47" spans="1:45" x14ac:dyDescent="0.3">
      <c r="E47" s="163"/>
    </row>
    <row r="48" spans="1:45" x14ac:dyDescent="0.3">
      <c r="C48" s="2" t="s">
        <v>374</v>
      </c>
      <c r="E48" s="163"/>
    </row>
    <row r="49" spans="3:45" x14ac:dyDescent="0.3">
      <c r="C49" s="10" t="s">
        <v>180</v>
      </c>
      <c r="D49" s="170">
        <f>'Fin Inputs'!$AC11</f>
        <v>0</v>
      </c>
      <c r="E49" s="161">
        <f>SUM(F49:AS49)</f>
        <v>0</v>
      </c>
      <c r="F49" s="171">
        <f>F$33*$D49</f>
        <v>0</v>
      </c>
      <c r="G49" s="171">
        <f t="shared" ref="G49:AS50" si="14">G$33*$D49</f>
        <v>0</v>
      </c>
      <c r="H49" s="171">
        <f t="shared" si="14"/>
        <v>0</v>
      </c>
      <c r="I49" s="171">
        <f t="shared" si="14"/>
        <v>0</v>
      </c>
      <c r="J49" s="171">
        <f t="shared" si="14"/>
        <v>0</v>
      </c>
      <c r="K49" s="171">
        <f t="shared" si="14"/>
        <v>0</v>
      </c>
      <c r="L49" s="171">
        <f t="shared" si="14"/>
        <v>0</v>
      </c>
      <c r="M49" s="171">
        <f t="shared" si="14"/>
        <v>0</v>
      </c>
      <c r="N49" s="171">
        <f t="shared" si="14"/>
        <v>0</v>
      </c>
      <c r="O49" s="171">
        <f t="shared" si="14"/>
        <v>0</v>
      </c>
      <c r="P49" s="171">
        <f t="shared" si="14"/>
        <v>0</v>
      </c>
      <c r="Q49" s="171">
        <f t="shared" si="14"/>
        <v>0</v>
      </c>
      <c r="R49" s="171">
        <f t="shared" si="14"/>
        <v>0</v>
      </c>
      <c r="S49" s="171">
        <f t="shared" si="14"/>
        <v>0</v>
      </c>
      <c r="T49" s="171">
        <f t="shared" si="14"/>
        <v>0</v>
      </c>
      <c r="U49" s="171">
        <f t="shared" si="14"/>
        <v>0</v>
      </c>
      <c r="V49" s="171">
        <f t="shared" si="14"/>
        <v>0</v>
      </c>
      <c r="W49" s="171">
        <f t="shared" si="14"/>
        <v>0</v>
      </c>
      <c r="X49" s="171">
        <f t="shared" si="14"/>
        <v>0</v>
      </c>
      <c r="Y49" s="171">
        <f t="shared" si="14"/>
        <v>0</v>
      </c>
      <c r="Z49" s="171">
        <f t="shared" si="14"/>
        <v>0</v>
      </c>
      <c r="AA49" s="171">
        <f t="shared" si="14"/>
        <v>0</v>
      </c>
      <c r="AB49" s="171">
        <f t="shared" si="14"/>
        <v>0</v>
      </c>
      <c r="AC49" s="171">
        <f t="shared" si="14"/>
        <v>0</v>
      </c>
      <c r="AD49" s="171">
        <f t="shared" si="14"/>
        <v>0</v>
      </c>
      <c r="AE49" s="171">
        <f t="shared" si="14"/>
        <v>0</v>
      </c>
      <c r="AF49" s="171">
        <f t="shared" si="14"/>
        <v>0</v>
      </c>
      <c r="AG49" s="171">
        <f t="shared" si="14"/>
        <v>0</v>
      </c>
      <c r="AH49" s="171">
        <f t="shared" si="14"/>
        <v>0</v>
      </c>
      <c r="AI49" s="171">
        <f t="shared" si="14"/>
        <v>0</v>
      </c>
      <c r="AJ49" s="171">
        <f t="shared" si="14"/>
        <v>0</v>
      </c>
      <c r="AK49" s="171">
        <f t="shared" si="14"/>
        <v>0</v>
      </c>
      <c r="AL49" s="171">
        <f t="shared" si="14"/>
        <v>0</v>
      </c>
      <c r="AM49" s="171">
        <f t="shared" si="14"/>
        <v>0</v>
      </c>
      <c r="AN49" s="171">
        <f t="shared" si="14"/>
        <v>0</v>
      </c>
      <c r="AO49" s="171">
        <f t="shared" si="14"/>
        <v>0</v>
      </c>
      <c r="AP49" s="171">
        <f t="shared" si="14"/>
        <v>0</v>
      </c>
      <c r="AQ49" s="171">
        <f t="shared" si="14"/>
        <v>0</v>
      </c>
      <c r="AR49" s="171">
        <f t="shared" si="14"/>
        <v>0</v>
      </c>
      <c r="AS49" s="171">
        <f t="shared" si="14"/>
        <v>0</v>
      </c>
    </row>
    <row r="50" spans="3:45" x14ac:dyDescent="0.3">
      <c r="C50" s="10" t="s">
        <v>79</v>
      </c>
      <c r="D50" s="170">
        <f>'Fin Inputs'!$AC12</f>
        <v>1</v>
      </c>
      <c r="E50" s="161">
        <f>SUM(F50:AS50)</f>
        <v>14041.000000000002</v>
      </c>
      <c r="F50" s="171">
        <f>F$33*$D50</f>
        <v>1170.0833333333333</v>
      </c>
      <c r="G50" s="171">
        <f t="shared" si="14"/>
        <v>1170.0833333333333</v>
      </c>
      <c r="H50" s="171">
        <f t="shared" si="14"/>
        <v>1170.0833333333333</v>
      </c>
      <c r="I50" s="171">
        <f t="shared" si="14"/>
        <v>1170.0833333333333</v>
      </c>
      <c r="J50" s="171">
        <f t="shared" si="14"/>
        <v>1170.0833333333333</v>
      </c>
      <c r="K50" s="171">
        <f t="shared" si="14"/>
        <v>1170.0833333333333</v>
      </c>
      <c r="L50" s="171">
        <f t="shared" si="14"/>
        <v>1170.0833333333333</v>
      </c>
      <c r="M50" s="171">
        <f t="shared" si="14"/>
        <v>1170.0833333333333</v>
      </c>
      <c r="N50" s="171">
        <f t="shared" si="14"/>
        <v>1170.0833333333333</v>
      </c>
      <c r="O50" s="171">
        <f t="shared" si="14"/>
        <v>1170.0833333333333</v>
      </c>
      <c r="P50" s="171">
        <f t="shared" si="14"/>
        <v>1170.0833333333333</v>
      </c>
      <c r="Q50" s="171">
        <f t="shared" si="14"/>
        <v>1170.0833333333333</v>
      </c>
      <c r="R50" s="171">
        <f t="shared" si="14"/>
        <v>0</v>
      </c>
      <c r="S50" s="171">
        <f t="shared" si="14"/>
        <v>0</v>
      </c>
      <c r="T50" s="171">
        <f t="shared" si="14"/>
        <v>0</v>
      </c>
      <c r="U50" s="171">
        <f t="shared" si="14"/>
        <v>0</v>
      </c>
      <c r="V50" s="171">
        <f t="shared" si="14"/>
        <v>0</v>
      </c>
      <c r="W50" s="171">
        <f t="shared" si="14"/>
        <v>0</v>
      </c>
      <c r="X50" s="171">
        <f t="shared" si="14"/>
        <v>0</v>
      </c>
      <c r="Y50" s="171">
        <f t="shared" si="14"/>
        <v>0</v>
      </c>
      <c r="Z50" s="171">
        <f t="shared" si="14"/>
        <v>0</v>
      </c>
      <c r="AA50" s="171">
        <f t="shared" si="14"/>
        <v>0</v>
      </c>
      <c r="AB50" s="171">
        <f t="shared" si="14"/>
        <v>0</v>
      </c>
      <c r="AC50" s="171">
        <f t="shared" si="14"/>
        <v>0</v>
      </c>
      <c r="AD50" s="171">
        <f t="shared" si="14"/>
        <v>0</v>
      </c>
      <c r="AE50" s="171">
        <f t="shared" si="14"/>
        <v>0</v>
      </c>
      <c r="AF50" s="171">
        <f t="shared" si="14"/>
        <v>0</v>
      </c>
      <c r="AG50" s="171">
        <f t="shared" si="14"/>
        <v>0</v>
      </c>
      <c r="AH50" s="171">
        <f t="shared" si="14"/>
        <v>0</v>
      </c>
      <c r="AI50" s="171">
        <f t="shared" si="14"/>
        <v>0</v>
      </c>
      <c r="AJ50" s="171">
        <f t="shared" si="14"/>
        <v>0</v>
      </c>
      <c r="AK50" s="171">
        <f t="shared" si="14"/>
        <v>0</v>
      </c>
      <c r="AL50" s="171">
        <f t="shared" si="14"/>
        <v>0</v>
      </c>
      <c r="AM50" s="171">
        <f t="shared" si="14"/>
        <v>0</v>
      </c>
      <c r="AN50" s="171">
        <f t="shared" si="14"/>
        <v>0</v>
      </c>
      <c r="AO50" s="171">
        <f t="shared" si="14"/>
        <v>0</v>
      </c>
      <c r="AP50" s="171">
        <f t="shared" si="14"/>
        <v>0</v>
      </c>
      <c r="AQ50" s="171">
        <f t="shared" si="14"/>
        <v>0</v>
      </c>
      <c r="AR50" s="171">
        <f t="shared" si="14"/>
        <v>0</v>
      </c>
      <c r="AS50" s="171">
        <f t="shared" si="14"/>
        <v>0</v>
      </c>
    </row>
    <row r="51" spans="3:45" x14ac:dyDescent="0.3">
      <c r="C51" s="10" t="s">
        <v>369</v>
      </c>
      <c r="D51" s="170"/>
      <c r="E51" s="167">
        <f>SUM(F51:AS51)</f>
        <v>14041.000000000002</v>
      </c>
      <c r="F51" s="172">
        <f>SUM(F49:F50)</f>
        <v>1170.0833333333333</v>
      </c>
      <c r="G51" s="172">
        <f t="shared" ref="G51:AS51" si="15">SUM(G49:G50)</f>
        <v>1170.0833333333333</v>
      </c>
      <c r="H51" s="172">
        <f t="shared" si="15"/>
        <v>1170.0833333333333</v>
      </c>
      <c r="I51" s="172">
        <f t="shared" si="15"/>
        <v>1170.0833333333333</v>
      </c>
      <c r="J51" s="172">
        <f t="shared" si="15"/>
        <v>1170.0833333333333</v>
      </c>
      <c r="K51" s="172">
        <f t="shared" si="15"/>
        <v>1170.0833333333333</v>
      </c>
      <c r="L51" s="172">
        <f t="shared" si="15"/>
        <v>1170.0833333333333</v>
      </c>
      <c r="M51" s="172">
        <f t="shared" si="15"/>
        <v>1170.0833333333333</v>
      </c>
      <c r="N51" s="172">
        <f t="shared" si="15"/>
        <v>1170.0833333333333</v>
      </c>
      <c r="O51" s="172">
        <f t="shared" si="15"/>
        <v>1170.0833333333333</v>
      </c>
      <c r="P51" s="172">
        <f t="shared" si="15"/>
        <v>1170.0833333333333</v>
      </c>
      <c r="Q51" s="172">
        <f t="shared" si="15"/>
        <v>1170.0833333333333</v>
      </c>
      <c r="R51" s="172">
        <f t="shared" si="15"/>
        <v>0</v>
      </c>
      <c r="S51" s="172">
        <f t="shared" si="15"/>
        <v>0</v>
      </c>
      <c r="T51" s="172">
        <f t="shared" si="15"/>
        <v>0</v>
      </c>
      <c r="U51" s="172">
        <f t="shared" si="15"/>
        <v>0</v>
      </c>
      <c r="V51" s="172">
        <f t="shared" si="15"/>
        <v>0</v>
      </c>
      <c r="W51" s="172">
        <f t="shared" si="15"/>
        <v>0</v>
      </c>
      <c r="X51" s="172">
        <f t="shared" si="15"/>
        <v>0</v>
      </c>
      <c r="Y51" s="172">
        <f t="shared" si="15"/>
        <v>0</v>
      </c>
      <c r="Z51" s="172">
        <f t="shared" si="15"/>
        <v>0</v>
      </c>
      <c r="AA51" s="172">
        <f t="shared" si="15"/>
        <v>0</v>
      </c>
      <c r="AB51" s="172">
        <f t="shared" si="15"/>
        <v>0</v>
      </c>
      <c r="AC51" s="172">
        <f t="shared" si="15"/>
        <v>0</v>
      </c>
      <c r="AD51" s="172">
        <f t="shared" si="15"/>
        <v>0</v>
      </c>
      <c r="AE51" s="172">
        <f t="shared" si="15"/>
        <v>0</v>
      </c>
      <c r="AF51" s="172">
        <f t="shared" si="15"/>
        <v>0</v>
      </c>
      <c r="AG51" s="172">
        <f t="shared" si="15"/>
        <v>0</v>
      </c>
      <c r="AH51" s="172">
        <f t="shared" si="15"/>
        <v>0</v>
      </c>
      <c r="AI51" s="172">
        <f t="shared" si="15"/>
        <v>0</v>
      </c>
      <c r="AJ51" s="172">
        <f t="shared" si="15"/>
        <v>0</v>
      </c>
      <c r="AK51" s="172">
        <f t="shared" si="15"/>
        <v>0</v>
      </c>
      <c r="AL51" s="172">
        <f t="shared" si="15"/>
        <v>0</v>
      </c>
      <c r="AM51" s="172">
        <f t="shared" si="15"/>
        <v>0</v>
      </c>
      <c r="AN51" s="172">
        <f t="shared" si="15"/>
        <v>0</v>
      </c>
      <c r="AO51" s="172">
        <f t="shared" si="15"/>
        <v>0</v>
      </c>
      <c r="AP51" s="172">
        <f t="shared" si="15"/>
        <v>0</v>
      </c>
      <c r="AQ51" s="172">
        <f t="shared" si="15"/>
        <v>0</v>
      </c>
      <c r="AR51" s="172">
        <f t="shared" si="15"/>
        <v>0</v>
      </c>
      <c r="AS51" s="172">
        <f t="shared" si="15"/>
        <v>0</v>
      </c>
    </row>
    <row r="52" spans="3:45" x14ac:dyDescent="0.3">
      <c r="E52" s="163"/>
    </row>
    <row r="53" spans="3:45" x14ac:dyDescent="0.3">
      <c r="C53" s="2" t="s">
        <v>375</v>
      </c>
      <c r="E53" s="163"/>
    </row>
    <row r="54" spans="3:45" x14ac:dyDescent="0.3">
      <c r="C54" s="10" t="s">
        <v>180</v>
      </c>
      <c r="D54" s="170">
        <f>D49</f>
        <v>0</v>
      </c>
      <c r="E54" s="161">
        <f>SUM(F54:AS54)</f>
        <v>0</v>
      </c>
      <c r="F54" s="171">
        <f>F33-F55</f>
        <v>0</v>
      </c>
      <c r="G54" s="171">
        <f>G33-G55</f>
        <v>0</v>
      </c>
      <c r="H54" s="171">
        <f t="shared" ref="H54:AS54" si="16">H33-H55</f>
        <v>0</v>
      </c>
      <c r="I54" s="171">
        <f t="shared" si="16"/>
        <v>0</v>
      </c>
      <c r="J54" s="171">
        <f t="shared" si="16"/>
        <v>0</v>
      </c>
      <c r="K54" s="171">
        <f t="shared" si="16"/>
        <v>0</v>
      </c>
      <c r="L54" s="171">
        <f t="shared" si="16"/>
        <v>0</v>
      </c>
      <c r="M54" s="171">
        <f t="shared" si="16"/>
        <v>0</v>
      </c>
      <c r="N54" s="171">
        <f t="shared" si="16"/>
        <v>0</v>
      </c>
      <c r="O54" s="171">
        <f t="shared" si="16"/>
        <v>0</v>
      </c>
      <c r="P54" s="171">
        <f t="shared" si="16"/>
        <v>0</v>
      </c>
      <c r="Q54" s="171">
        <f t="shared" si="16"/>
        <v>0</v>
      </c>
      <c r="R54" s="171">
        <f t="shared" si="16"/>
        <v>0</v>
      </c>
      <c r="S54" s="171">
        <f t="shared" si="16"/>
        <v>0</v>
      </c>
      <c r="T54" s="171">
        <f t="shared" si="16"/>
        <v>0</v>
      </c>
      <c r="U54" s="171">
        <f t="shared" si="16"/>
        <v>0</v>
      </c>
      <c r="V54" s="171">
        <f t="shared" si="16"/>
        <v>0</v>
      </c>
      <c r="W54" s="171">
        <f t="shared" si="16"/>
        <v>0</v>
      </c>
      <c r="X54" s="171">
        <f t="shared" si="16"/>
        <v>0</v>
      </c>
      <c r="Y54" s="171">
        <f t="shared" si="16"/>
        <v>0</v>
      </c>
      <c r="Z54" s="171">
        <f t="shared" si="16"/>
        <v>0</v>
      </c>
      <c r="AA54" s="171">
        <f t="shared" si="16"/>
        <v>0</v>
      </c>
      <c r="AB54" s="171">
        <f t="shared" si="16"/>
        <v>0</v>
      </c>
      <c r="AC54" s="171">
        <f t="shared" si="16"/>
        <v>0</v>
      </c>
      <c r="AD54" s="171">
        <f t="shared" si="16"/>
        <v>0</v>
      </c>
      <c r="AE54" s="171">
        <f t="shared" si="16"/>
        <v>0</v>
      </c>
      <c r="AF54" s="171">
        <f t="shared" si="16"/>
        <v>0</v>
      </c>
      <c r="AG54" s="171">
        <f t="shared" si="16"/>
        <v>0</v>
      </c>
      <c r="AH54" s="171">
        <f t="shared" si="16"/>
        <v>0</v>
      </c>
      <c r="AI54" s="171">
        <f t="shared" si="16"/>
        <v>0</v>
      </c>
      <c r="AJ54" s="171">
        <f t="shared" si="16"/>
        <v>0</v>
      </c>
      <c r="AK54" s="171">
        <f t="shared" si="16"/>
        <v>0</v>
      </c>
      <c r="AL54" s="171">
        <f t="shared" si="16"/>
        <v>0</v>
      </c>
      <c r="AM54" s="171">
        <f t="shared" si="16"/>
        <v>0</v>
      </c>
      <c r="AN54" s="171">
        <f t="shared" si="16"/>
        <v>0</v>
      </c>
      <c r="AO54" s="171">
        <f t="shared" si="16"/>
        <v>0</v>
      </c>
      <c r="AP54" s="171">
        <f t="shared" si="16"/>
        <v>0</v>
      </c>
      <c r="AQ54" s="171">
        <f t="shared" si="16"/>
        <v>0</v>
      </c>
      <c r="AR54" s="171">
        <f t="shared" si="16"/>
        <v>0</v>
      </c>
      <c r="AS54" s="171">
        <f t="shared" si="16"/>
        <v>0</v>
      </c>
    </row>
    <row r="55" spans="3:45" x14ac:dyDescent="0.3">
      <c r="C55" s="10" t="s">
        <v>79</v>
      </c>
      <c r="D55" s="170">
        <f>D50</f>
        <v>1</v>
      </c>
      <c r="E55" s="161">
        <f>SUM(F55:AS55)</f>
        <v>14041</v>
      </c>
      <c r="F55" s="171">
        <f>MIN(F33,E58)</f>
        <v>1170.0833333333333</v>
      </c>
      <c r="G55" s="171">
        <f>MIN(G33,F58)</f>
        <v>1170.0833333333333</v>
      </c>
      <c r="H55" s="171">
        <f t="shared" ref="H55:AS55" si="17">MIN(H33,G58)</f>
        <v>1170.0833333333333</v>
      </c>
      <c r="I55" s="171">
        <f t="shared" si="17"/>
        <v>1170.0833333333333</v>
      </c>
      <c r="J55" s="171">
        <f t="shared" si="17"/>
        <v>1170.0833333333333</v>
      </c>
      <c r="K55" s="171">
        <f t="shared" si="17"/>
        <v>1170.0833333333333</v>
      </c>
      <c r="L55" s="171">
        <f t="shared" si="17"/>
        <v>1170.0833333333333</v>
      </c>
      <c r="M55" s="171">
        <f t="shared" si="17"/>
        <v>1170.0833333333333</v>
      </c>
      <c r="N55" s="171">
        <f t="shared" si="17"/>
        <v>1170.0833333333333</v>
      </c>
      <c r="O55" s="171">
        <f t="shared" si="17"/>
        <v>1170.0833333333333</v>
      </c>
      <c r="P55" s="171">
        <f t="shared" si="17"/>
        <v>1170.0833333333333</v>
      </c>
      <c r="Q55" s="171">
        <f t="shared" si="17"/>
        <v>1170.0833333333328</v>
      </c>
      <c r="R55" s="171">
        <f t="shared" si="17"/>
        <v>0</v>
      </c>
      <c r="S55" s="171">
        <f t="shared" si="17"/>
        <v>0</v>
      </c>
      <c r="T55" s="171">
        <f t="shared" si="17"/>
        <v>0</v>
      </c>
      <c r="U55" s="171">
        <f t="shared" si="17"/>
        <v>0</v>
      </c>
      <c r="V55" s="171">
        <f t="shared" si="17"/>
        <v>0</v>
      </c>
      <c r="W55" s="171">
        <f t="shared" si="17"/>
        <v>0</v>
      </c>
      <c r="X55" s="171">
        <f t="shared" si="17"/>
        <v>0</v>
      </c>
      <c r="Y55" s="171">
        <f t="shared" si="17"/>
        <v>0</v>
      </c>
      <c r="Z55" s="171">
        <f t="shared" si="17"/>
        <v>0</v>
      </c>
      <c r="AA55" s="171">
        <f t="shared" si="17"/>
        <v>0</v>
      </c>
      <c r="AB55" s="171">
        <f t="shared" si="17"/>
        <v>0</v>
      </c>
      <c r="AC55" s="171">
        <f t="shared" si="17"/>
        <v>0</v>
      </c>
      <c r="AD55" s="171">
        <f t="shared" si="17"/>
        <v>0</v>
      </c>
      <c r="AE55" s="171">
        <f t="shared" si="17"/>
        <v>0</v>
      </c>
      <c r="AF55" s="171">
        <f t="shared" si="17"/>
        <v>0</v>
      </c>
      <c r="AG55" s="171">
        <f t="shared" si="17"/>
        <v>0</v>
      </c>
      <c r="AH55" s="171">
        <f t="shared" si="17"/>
        <v>0</v>
      </c>
      <c r="AI55" s="171">
        <f t="shared" si="17"/>
        <v>0</v>
      </c>
      <c r="AJ55" s="171">
        <f t="shared" si="17"/>
        <v>0</v>
      </c>
      <c r="AK55" s="171">
        <f t="shared" si="17"/>
        <v>0</v>
      </c>
      <c r="AL55" s="171">
        <f t="shared" si="17"/>
        <v>0</v>
      </c>
      <c r="AM55" s="171">
        <f t="shared" si="17"/>
        <v>0</v>
      </c>
      <c r="AN55" s="171">
        <f t="shared" si="17"/>
        <v>0</v>
      </c>
      <c r="AO55" s="171">
        <f t="shared" si="17"/>
        <v>0</v>
      </c>
      <c r="AP55" s="171">
        <f t="shared" si="17"/>
        <v>0</v>
      </c>
      <c r="AQ55" s="171">
        <f t="shared" si="17"/>
        <v>0</v>
      </c>
      <c r="AR55" s="171">
        <f t="shared" si="17"/>
        <v>0</v>
      </c>
      <c r="AS55" s="171">
        <f t="shared" si="17"/>
        <v>0</v>
      </c>
    </row>
    <row r="56" spans="3:45" x14ac:dyDescent="0.3">
      <c r="C56" s="10" t="s">
        <v>369</v>
      </c>
      <c r="D56" s="170"/>
      <c r="E56" s="167">
        <f>SUM(F56:AS56)</f>
        <v>14041</v>
      </c>
      <c r="F56" s="172">
        <f>SUM(F54:F55)</f>
        <v>1170.0833333333333</v>
      </c>
      <c r="G56" s="172">
        <f t="shared" ref="G56:AS56" si="18">SUM(G54:G55)</f>
        <v>1170.0833333333333</v>
      </c>
      <c r="H56" s="172">
        <f t="shared" si="18"/>
        <v>1170.0833333333333</v>
      </c>
      <c r="I56" s="172">
        <f t="shared" si="18"/>
        <v>1170.0833333333333</v>
      </c>
      <c r="J56" s="172">
        <f t="shared" si="18"/>
        <v>1170.0833333333333</v>
      </c>
      <c r="K56" s="172">
        <f t="shared" si="18"/>
        <v>1170.0833333333333</v>
      </c>
      <c r="L56" s="172">
        <f t="shared" si="18"/>
        <v>1170.0833333333333</v>
      </c>
      <c r="M56" s="172">
        <f t="shared" si="18"/>
        <v>1170.0833333333333</v>
      </c>
      <c r="N56" s="172">
        <f t="shared" si="18"/>
        <v>1170.0833333333333</v>
      </c>
      <c r="O56" s="172">
        <f t="shared" si="18"/>
        <v>1170.0833333333333</v>
      </c>
      <c r="P56" s="172">
        <f t="shared" si="18"/>
        <v>1170.0833333333333</v>
      </c>
      <c r="Q56" s="172">
        <f t="shared" si="18"/>
        <v>1170.0833333333328</v>
      </c>
      <c r="R56" s="172">
        <f t="shared" si="18"/>
        <v>0</v>
      </c>
      <c r="S56" s="172">
        <f t="shared" si="18"/>
        <v>0</v>
      </c>
      <c r="T56" s="172">
        <f t="shared" si="18"/>
        <v>0</v>
      </c>
      <c r="U56" s="172">
        <f t="shared" si="18"/>
        <v>0</v>
      </c>
      <c r="V56" s="172">
        <f t="shared" si="18"/>
        <v>0</v>
      </c>
      <c r="W56" s="172">
        <f t="shared" si="18"/>
        <v>0</v>
      </c>
      <c r="X56" s="172">
        <f t="shared" si="18"/>
        <v>0</v>
      </c>
      <c r="Y56" s="172">
        <f t="shared" si="18"/>
        <v>0</v>
      </c>
      <c r="Z56" s="172">
        <f t="shared" si="18"/>
        <v>0</v>
      </c>
      <c r="AA56" s="172">
        <f t="shared" si="18"/>
        <v>0</v>
      </c>
      <c r="AB56" s="172">
        <f t="shared" si="18"/>
        <v>0</v>
      </c>
      <c r="AC56" s="172">
        <f t="shared" si="18"/>
        <v>0</v>
      </c>
      <c r="AD56" s="172">
        <f t="shared" si="18"/>
        <v>0</v>
      </c>
      <c r="AE56" s="172">
        <f t="shared" si="18"/>
        <v>0</v>
      </c>
      <c r="AF56" s="172">
        <f t="shared" si="18"/>
        <v>0</v>
      </c>
      <c r="AG56" s="172">
        <f t="shared" si="18"/>
        <v>0</v>
      </c>
      <c r="AH56" s="172">
        <f t="shared" si="18"/>
        <v>0</v>
      </c>
      <c r="AI56" s="172">
        <f t="shared" si="18"/>
        <v>0</v>
      </c>
      <c r="AJ56" s="172">
        <f t="shared" si="18"/>
        <v>0</v>
      </c>
      <c r="AK56" s="172">
        <f t="shared" si="18"/>
        <v>0</v>
      </c>
      <c r="AL56" s="172">
        <f t="shared" si="18"/>
        <v>0</v>
      </c>
      <c r="AM56" s="172">
        <f t="shared" si="18"/>
        <v>0</v>
      </c>
      <c r="AN56" s="172">
        <f t="shared" si="18"/>
        <v>0</v>
      </c>
      <c r="AO56" s="172">
        <f t="shared" si="18"/>
        <v>0</v>
      </c>
      <c r="AP56" s="172">
        <f t="shared" si="18"/>
        <v>0</v>
      </c>
      <c r="AQ56" s="172">
        <f t="shared" si="18"/>
        <v>0</v>
      </c>
      <c r="AR56" s="172">
        <f t="shared" si="18"/>
        <v>0</v>
      </c>
      <c r="AS56" s="172">
        <f t="shared" si="18"/>
        <v>0</v>
      </c>
    </row>
    <row r="57" spans="3:45" x14ac:dyDescent="0.3">
      <c r="E57" s="163"/>
    </row>
    <row r="58" spans="3:45" x14ac:dyDescent="0.3">
      <c r="C58" s="10" t="s">
        <v>376</v>
      </c>
      <c r="E58" s="177">
        <f>totalCapitalCost*D55</f>
        <v>14041</v>
      </c>
      <c r="F58" s="41">
        <f t="shared" ref="F58:AS58" si="19">E58-F55</f>
        <v>12870.916666666666</v>
      </c>
      <c r="G58" s="41">
        <f t="shared" si="19"/>
        <v>11700.833333333332</v>
      </c>
      <c r="H58" s="41">
        <f t="shared" si="19"/>
        <v>10530.749999999998</v>
      </c>
      <c r="I58" s="41">
        <f t="shared" si="19"/>
        <v>9360.6666666666642</v>
      </c>
      <c r="J58" s="41">
        <f t="shared" si="19"/>
        <v>8190.5833333333312</v>
      </c>
      <c r="K58" s="41">
        <f t="shared" si="19"/>
        <v>7020.4999999999982</v>
      </c>
      <c r="L58" s="41">
        <f t="shared" si="19"/>
        <v>5850.4166666666652</v>
      </c>
      <c r="M58" s="41">
        <f t="shared" si="19"/>
        <v>4680.3333333333321</v>
      </c>
      <c r="N58" s="41">
        <f t="shared" si="19"/>
        <v>3510.2499999999991</v>
      </c>
      <c r="O58" s="41">
        <f t="shared" si="19"/>
        <v>2340.1666666666661</v>
      </c>
      <c r="P58" s="41">
        <f t="shared" si="19"/>
        <v>1170.0833333333328</v>
      </c>
      <c r="Q58" s="41">
        <f t="shared" si="19"/>
        <v>0</v>
      </c>
      <c r="R58" s="41">
        <f t="shared" si="19"/>
        <v>0</v>
      </c>
      <c r="S58" s="41">
        <f t="shared" si="19"/>
        <v>0</v>
      </c>
      <c r="T58" s="41">
        <f t="shared" si="19"/>
        <v>0</v>
      </c>
      <c r="U58" s="41">
        <f t="shared" si="19"/>
        <v>0</v>
      </c>
      <c r="V58" s="41">
        <f t="shared" si="19"/>
        <v>0</v>
      </c>
      <c r="W58" s="41">
        <f t="shared" si="19"/>
        <v>0</v>
      </c>
      <c r="X58" s="41">
        <f t="shared" si="19"/>
        <v>0</v>
      </c>
      <c r="Y58" s="41">
        <f t="shared" si="19"/>
        <v>0</v>
      </c>
      <c r="Z58" s="41">
        <f t="shared" si="19"/>
        <v>0</v>
      </c>
      <c r="AA58" s="41">
        <f t="shared" si="19"/>
        <v>0</v>
      </c>
      <c r="AB58" s="41">
        <f t="shared" si="19"/>
        <v>0</v>
      </c>
      <c r="AC58" s="41">
        <f t="shared" si="19"/>
        <v>0</v>
      </c>
      <c r="AD58" s="41">
        <f t="shared" si="19"/>
        <v>0</v>
      </c>
      <c r="AE58" s="41">
        <f t="shared" si="19"/>
        <v>0</v>
      </c>
      <c r="AF58" s="41">
        <f t="shared" si="19"/>
        <v>0</v>
      </c>
      <c r="AG58" s="41">
        <f t="shared" si="19"/>
        <v>0</v>
      </c>
      <c r="AH58" s="41">
        <f t="shared" si="19"/>
        <v>0</v>
      </c>
      <c r="AI58" s="41">
        <f t="shared" si="19"/>
        <v>0</v>
      </c>
      <c r="AJ58" s="41">
        <f t="shared" si="19"/>
        <v>0</v>
      </c>
      <c r="AK58" s="41">
        <f t="shared" si="19"/>
        <v>0</v>
      </c>
      <c r="AL58" s="41">
        <f t="shared" si="19"/>
        <v>0</v>
      </c>
      <c r="AM58" s="41">
        <f t="shared" si="19"/>
        <v>0</v>
      </c>
      <c r="AN58" s="41">
        <f t="shared" si="19"/>
        <v>0</v>
      </c>
      <c r="AO58" s="41">
        <f t="shared" si="19"/>
        <v>0</v>
      </c>
      <c r="AP58" s="41">
        <f t="shared" si="19"/>
        <v>0</v>
      </c>
      <c r="AQ58" s="41">
        <f t="shared" si="19"/>
        <v>0</v>
      </c>
      <c r="AR58" s="41">
        <f t="shared" si="19"/>
        <v>0</v>
      </c>
      <c r="AS58" s="41">
        <f t="shared" si="19"/>
        <v>0</v>
      </c>
    </row>
    <row r="59" spans="3:45" x14ac:dyDescent="0.3">
      <c r="E59" s="177"/>
    </row>
    <row r="60" spans="3:45" ht="15" thickBot="1" x14ac:dyDescent="0.35">
      <c r="C60" s="124"/>
      <c r="D60" s="124"/>
      <c r="E60" s="178"/>
      <c r="F60" s="124"/>
      <c r="G60" s="124"/>
      <c r="H60" s="124"/>
      <c r="I60" s="124"/>
      <c r="J60" s="124"/>
      <c r="K60" s="124"/>
      <c r="L60" s="124"/>
      <c r="M60" s="124"/>
      <c r="N60" s="124"/>
      <c r="O60" s="124"/>
      <c r="P60" s="124"/>
      <c r="Q60" s="124"/>
      <c r="R60" s="124"/>
      <c r="S60" s="124"/>
      <c r="T60" s="124"/>
      <c r="U60" s="124"/>
    </row>
    <row r="61" spans="3:45" x14ac:dyDescent="0.3">
      <c r="C61" s="126" t="s">
        <v>377</v>
      </c>
      <c r="D61" s="179"/>
      <c r="E61" s="180" t="s">
        <v>378</v>
      </c>
      <c r="F61" s="181">
        <f>F11</f>
        <v>46388</v>
      </c>
      <c r="G61" s="181">
        <f>DATE(G62,MONTH(F61),1)</f>
        <v>46753</v>
      </c>
      <c r="H61" s="181">
        <f t="shared" ref="H61:I61" si="20">DATE(H62,MONTH(G61),1)</f>
        <v>47119</v>
      </c>
      <c r="I61" s="181">
        <f t="shared" si="20"/>
        <v>47484</v>
      </c>
    </row>
    <row r="62" spans="3:45" x14ac:dyDescent="0.3">
      <c r="E62" s="182" t="s">
        <v>22</v>
      </c>
      <c r="F62" s="183">
        <f>F12</f>
        <v>2027</v>
      </c>
      <c r="G62" s="2">
        <f>F62+1</f>
        <v>2028</v>
      </c>
      <c r="H62" s="2">
        <f>G62+1</f>
        <v>2029</v>
      </c>
      <c r="I62" s="2">
        <f>H62+1</f>
        <v>2030</v>
      </c>
      <c r="J62" s="30" t="s">
        <v>379</v>
      </c>
    </row>
    <row r="63" spans="3:45" x14ac:dyDescent="0.3">
      <c r="E63" s="163" t="s">
        <v>380</v>
      </c>
      <c r="F63" s="127">
        <f>SUMIF($F$12:$AS$12,"="&amp;F$62,$F$33:$AS$33)</f>
        <v>14041.000000000002</v>
      </c>
      <c r="G63" s="127">
        <f>SUMIF($F$12:$AS$12,"="&amp;G$62,$F$33:$AS$33)</f>
        <v>0</v>
      </c>
      <c r="H63" s="127">
        <f>SUMIF($F$12:$AS$12,"="&amp;H$62,$F$33:$AS$33)</f>
        <v>0</v>
      </c>
      <c r="I63" s="127">
        <f>SUMIF($F$12:$AS$12,"="&amp;I$62,$F$33:$AS$33)</f>
        <v>0</v>
      </c>
      <c r="J63" s="184">
        <f>SUM(F63:I63)</f>
        <v>14041.000000000002</v>
      </c>
      <c r="K63" s="185">
        <f>totalCapitalCost-J63</f>
        <v>0</v>
      </c>
    </row>
    <row r="64" spans="3:45" x14ac:dyDescent="0.3">
      <c r="E64" s="163" t="s">
        <v>381</v>
      </c>
      <c r="F64" s="127">
        <f>SUMIF($F$12:$AS$12,"="&amp;F$62,$F$37:$AS$37)</f>
        <v>14041.000000000002</v>
      </c>
      <c r="G64" s="127">
        <f>SUMIF($F$12:$AS$12,"="&amp;G$62,$F$37:$AS$37)</f>
        <v>0</v>
      </c>
      <c r="H64" s="127">
        <f>SUMIF($F$12:$AS$12,"="&amp;H$62,$F$37:$AS$37)</f>
        <v>0</v>
      </c>
      <c r="I64" s="127">
        <f>SUMIF($F$12:$AS$12,"="&amp;I$62,$F$37:$AS$37)</f>
        <v>0</v>
      </c>
      <c r="J64" s="184">
        <f>SUM(F64:I64)</f>
        <v>14041.000000000002</v>
      </c>
      <c r="K64" s="186">
        <f>'Fin Inputs'!AC27-J64</f>
        <v>0</v>
      </c>
    </row>
    <row r="65" spans="5:5" x14ac:dyDescent="0.3">
      <c r="E65" s="163"/>
    </row>
    <row r="66" spans="5:5" x14ac:dyDescent="0.3">
      <c r="E66" s="163"/>
    </row>
    <row r="67" spans="5:5" x14ac:dyDescent="0.3">
      <c r="E67" s="163"/>
    </row>
    <row r="68" spans="5:5" x14ac:dyDescent="0.3">
      <c r="E68" s="163"/>
    </row>
    <row r="69" spans="5:5" x14ac:dyDescent="0.3">
      <c r="E69" s="163"/>
    </row>
    <row r="70" spans="5:5" x14ac:dyDescent="0.3">
      <c r="E70" s="163"/>
    </row>
    <row r="71" spans="5:5" x14ac:dyDescent="0.3">
      <c r="E71" s="163"/>
    </row>
    <row r="72" spans="5:5" x14ac:dyDescent="0.3">
      <c r="E72" s="163"/>
    </row>
    <row r="73" spans="5:5" x14ac:dyDescent="0.3">
      <c r="E73" s="163"/>
    </row>
    <row r="74" spans="5:5" x14ac:dyDescent="0.3">
      <c r="E74" s="163"/>
    </row>
    <row r="75" spans="5:5" x14ac:dyDescent="0.3">
      <c r="E75" s="163"/>
    </row>
    <row r="76" spans="5:5" x14ac:dyDescent="0.3">
      <c r="E76" s="163"/>
    </row>
    <row r="77" spans="5:5" x14ac:dyDescent="0.3">
      <c r="E77" s="163"/>
    </row>
    <row r="78" spans="5:5" x14ac:dyDescent="0.3">
      <c r="E78" s="163"/>
    </row>
  </sheetData>
  <sheetProtection algorithmName="SHA-512" hashValue="N/bhGvPvdI2MXXP58Je4AFaYFQjJvvBGrFzLQBuZg6fKczeCbySaLyi4QKLM9Y7SjD5zssRXaicaim1q+hdSGw==" saltValue="Dg8w1NlGSReIswvCnByXYA==" spinCount="100000" sheet="1" objects="1" scenarios="1" selectLockedCells="1"/>
  <mergeCells count="1">
    <mergeCell ref="A1:AS1"/>
  </mergeCells>
  <pageMargins left="0.7" right="0.7" top="0.75" bottom="0.75" header="0.3" footer="0.3"/>
  <pageSetup paperSize="9" scale="2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2D015-1534-47BC-889A-04E2FD91E685}">
  <sheetPr codeName="Sheet21">
    <tabColor theme="9" tint="0.59999389629810485"/>
    <pageSetUpPr fitToPage="1"/>
  </sheetPr>
  <dimension ref="A1:AW139"/>
  <sheetViews>
    <sheetView defaultGridColor="0" colorId="22" zoomScale="90" zoomScaleNormal="90" zoomScaleSheetLayoutView="30" workbookViewId="0">
      <selection activeCell="M40" sqref="M40:M44"/>
    </sheetView>
  </sheetViews>
  <sheetFormatPr defaultColWidth="9.44140625" defaultRowHeight="14.4" outlineLevelCol="1" x14ac:dyDescent="0.3"/>
  <cols>
    <col min="1" max="1" width="2.44140625" style="72" customWidth="1"/>
    <col min="2" max="2" width="3.5546875" style="72" customWidth="1"/>
    <col min="3" max="3" width="2.5546875" style="72" customWidth="1"/>
    <col min="4" max="4" width="39.44140625" style="72" customWidth="1"/>
    <col min="5" max="5" width="27.5546875" style="72" bestFit="1" customWidth="1" outlineLevel="1"/>
    <col min="6" max="6" width="11.44140625" style="72" bestFit="1" customWidth="1" outlineLevel="1"/>
    <col min="7" max="7" width="11.44140625" style="72" customWidth="1" outlineLevel="1"/>
    <col min="8" max="8" width="14.44140625" style="72" customWidth="1" outlineLevel="1"/>
    <col min="9" max="9" width="15.5546875" style="72" customWidth="1" outlineLevel="1"/>
    <col min="10" max="10" width="13.44140625" style="72" bestFit="1" customWidth="1"/>
    <col min="11" max="11" width="12.5546875" style="72" bestFit="1" customWidth="1"/>
    <col min="12" max="13" width="13.5546875" style="72" bestFit="1" customWidth="1"/>
    <col min="14" max="34" width="13.44140625" style="72" bestFit="1" customWidth="1"/>
    <col min="35" max="246" width="9.44140625" style="72"/>
    <col min="247" max="247" width="2.44140625" style="72" customWidth="1"/>
    <col min="248" max="248" width="3.5546875" style="72" customWidth="1"/>
    <col min="249" max="249" width="2.5546875" style="72" customWidth="1"/>
    <col min="250" max="250" width="39.44140625" style="72" customWidth="1"/>
    <col min="251" max="251" width="5.44140625" style="72" customWidth="1"/>
    <col min="252" max="252" width="4" style="72" customWidth="1"/>
    <col min="253" max="253" width="11.44140625" style="72" customWidth="1"/>
    <col min="254" max="254" width="14.44140625" style="72" customWidth="1"/>
    <col min="255" max="255" width="15.5546875" style="72" customWidth="1"/>
    <col min="256" max="256" width="11.44140625" style="72" customWidth="1"/>
    <col min="257" max="257" width="11.5546875" style="72" customWidth="1"/>
    <col min="258" max="271" width="12.44140625" style="72" customWidth="1"/>
    <col min="272" max="272" width="12" style="72" customWidth="1"/>
    <col min="273" max="276" width="12.44140625" style="72" customWidth="1"/>
    <col min="277" max="285" width="12" style="72" customWidth="1"/>
    <col min="286" max="287" width="9.44140625" style="72" customWidth="1"/>
    <col min="288" max="502" width="9.44140625" style="72"/>
    <col min="503" max="503" width="2.44140625" style="72" customWidth="1"/>
    <col min="504" max="504" width="3.5546875" style="72" customWidth="1"/>
    <col min="505" max="505" width="2.5546875" style="72" customWidth="1"/>
    <col min="506" max="506" width="39.44140625" style="72" customWidth="1"/>
    <col min="507" max="507" width="5.44140625" style="72" customWidth="1"/>
    <col min="508" max="508" width="4" style="72" customWidth="1"/>
    <col min="509" max="509" width="11.44140625" style="72" customWidth="1"/>
    <col min="510" max="510" width="14.44140625" style="72" customWidth="1"/>
    <col min="511" max="511" width="15.5546875" style="72" customWidth="1"/>
    <col min="512" max="512" width="11.44140625" style="72" customWidth="1"/>
    <col min="513" max="513" width="11.5546875" style="72" customWidth="1"/>
    <col min="514" max="527" width="12.44140625" style="72" customWidth="1"/>
    <col min="528" max="528" width="12" style="72" customWidth="1"/>
    <col min="529" max="532" width="12.44140625" style="72" customWidth="1"/>
    <col min="533" max="541" width="12" style="72" customWidth="1"/>
    <col min="542" max="543" width="9.44140625" style="72" customWidth="1"/>
    <col min="544" max="758" width="9.44140625" style="72"/>
    <col min="759" max="759" width="2.44140625" style="72" customWidth="1"/>
    <col min="760" max="760" width="3.5546875" style="72" customWidth="1"/>
    <col min="761" max="761" width="2.5546875" style="72" customWidth="1"/>
    <col min="762" max="762" width="39.44140625" style="72" customWidth="1"/>
    <col min="763" max="763" width="5.44140625" style="72" customWidth="1"/>
    <col min="764" max="764" width="4" style="72" customWidth="1"/>
    <col min="765" max="765" width="11.44140625" style="72" customWidth="1"/>
    <col min="766" max="766" width="14.44140625" style="72" customWidth="1"/>
    <col min="767" max="767" width="15.5546875" style="72" customWidth="1"/>
    <col min="768" max="768" width="11.44140625" style="72" customWidth="1"/>
    <col min="769" max="769" width="11.5546875" style="72" customWidth="1"/>
    <col min="770" max="783" width="12.44140625" style="72" customWidth="1"/>
    <col min="784" max="784" width="12" style="72" customWidth="1"/>
    <col min="785" max="788" width="12.44140625" style="72" customWidth="1"/>
    <col min="789" max="797" width="12" style="72" customWidth="1"/>
    <col min="798" max="799" width="9.44140625" style="72" customWidth="1"/>
    <col min="800" max="1014" width="9.44140625" style="72"/>
    <col min="1015" max="1015" width="2.44140625" style="72" customWidth="1"/>
    <col min="1016" max="1016" width="3.5546875" style="72" customWidth="1"/>
    <col min="1017" max="1017" width="2.5546875" style="72" customWidth="1"/>
    <col min="1018" max="1018" width="39.44140625" style="72" customWidth="1"/>
    <col min="1019" max="1019" width="5.44140625" style="72" customWidth="1"/>
    <col min="1020" max="1020" width="4" style="72" customWidth="1"/>
    <col min="1021" max="1021" width="11.44140625" style="72" customWidth="1"/>
    <col min="1022" max="1022" width="14.44140625" style="72" customWidth="1"/>
    <col min="1023" max="1023" width="15.5546875" style="72" customWidth="1"/>
    <col min="1024" max="1024" width="11.44140625" style="72" customWidth="1"/>
    <col min="1025" max="1025" width="11.5546875" style="72" customWidth="1"/>
    <col min="1026" max="1039" width="12.44140625" style="72" customWidth="1"/>
    <col min="1040" max="1040" width="12" style="72" customWidth="1"/>
    <col min="1041" max="1044" width="12.44140625" style="72" customWidth="1"/>
    <col min="1045" max="1053" width="12" style="72" customWidth="1"/>
    <col min="1054" max="1055" width="9.44140625" style="72" customWidth="1"/>
    <col min="1056" max="1270" width="9.44140625" style="72"/>
    <col min="1271" max="1271" width="2.44140625" style="72" customWidth="1"/>
    <col min="1272" max="1272" width="3.5546875" style="72" customWidth="1"/>
    <col min="1273" max="1273" width="2.5546875" style="72" customWidth="1"/>
    <col min="1274" max="1274" width="39.44140625" style="72" customWidth="1"/>
    <col min="1275" max="1275" width="5.44140625" style="72" customWidth="1"/>
    <col min="1276" max="1276" width="4" style="72" customWidth="1"/>
    <col min="1277" max="1277" width="11.44140625" style="72" customWidth="1"/>
    <col min="1278" max="1278" width="14.44140625" style="72" customWidth="1"/>
    <col min="1279" max="1279" width="15.5546875" style="72" customWidth="1"/>
    <col min="1280" max="1280" width="11.44140625" style="72" customWidth="1"/>
    <col min="1281" max="1281" width="11.5546875" style="72" customWidth="1"/>
    <col min="1282" max="1295" width="12.44140625" style="72" customWidth="1"/>
    <col min="1296" max="1296" width="12" style="72" customWidth="1"/>
    <col min="1297" max="1300" width="12.44140625" style="72" customWidth="1"/>
    <col min="1301" max="1309" width="12" style="72" customWidth="1"/>
    <col min="1310" max="1311" width="9.44140625" style="72" customWidth="1"/>
    <col min="1312" max="1526" width="9.44140625" style="72"/>
    <col min="1527" max="1527" width="2.44140625" style="72" customWidth="1"/>
    <col min="1528" max="1528" width="3.5546875" style="72" customWidth="1"/>
    <col min="1529" max="1529" width="2.5546875" style="72" customWidth="1"/>
    <col min="1530" max="1530" width="39.44140625" style="72" customWidth="1"/>
    <col min="1531" max="1531" width="5.44140625" style="72" customWidth="1"/>
    <col min="1532" max="1532" width="4" style="72" customWidth="1"/>
    <col min="1533" max="1533" width="11.44140625" style="72" customWidth="1"/>
    <col min="1534" max="1534" width="14.44140625" style="72" customWidth="1"/>
    <col min="1535" max="1535" width="15.5546875" style="72" customWidth="1"/>
    <col min="1536" max="1536" width="11.44140625" style="72" customWidth="1"/>
    <col min="1537" max="1537" width="11.5546875" style="72" customWidth="1"/>
    <col min="1538" max="1551" width="12.44140625" style="72" customWidth="1"/>
    <col min="1552" max="1552" width="12" style="72" customWidth="1"/>
    <col min="1553" max="1556" width="12.44140625" style="72" customWidth="1"/>
    <col min="1557" max="1565" width="12" style="72" customWidth="1"/>
    <col min="1566" max="1567" width="9.44140625" style="72" customWidth="1"/>
    <col min="1568" max="1782" width="9.44140625" style="72"/>
    <col min="1783" max="1783" width="2.44140625" style="72" customWidth="1"/>
    <col min="1784" max="1784" width="3.5546875" style="72" customWidth="1"/>
    <col min="1785" max="1785" width="2.5546875" style="72" customWidth="1"/>
    <col min="1786" max="1786" width="39.44140625" style="72" customWidth="1"/>
    <col min="1787" max="1787" width="5.44140625" style="72" customWidth="1"/>
    <col min="1788" max="1788" width="4" style="72" customWidth="1"/>
    <col min="1789" max="1789" width="11.44140625" style="72" customWidth="1"/>
    <col min="1790" max="1790" width="14.44140625" style="72" customWidth="1"/>
    <col min="1791" max="1791" width="15.5546875" style="72" customWidth="1"/>
    <col min="1792" max="1792" width="11.44140625" style="72" customWidth="1"/>
    <col min="1793" max="1793" width="11.5546875" style="72" customWidth="1"/>
    <col min="1794" max="1807" width="12.44140625" style="72" customWidth="1"/>
    <col min="1808" max="1808" width="12" style="72" customWidth="1"/>
    <col min="1809" max="1812" width="12.44140625" style="72" customWidth="1"/>
    <col min="1813" max="1821" width="12" style="72" customWidth="1"/>
    <col min="1822" max="1823" width="9.44140625" style="72" customWidth="1"/>
    <col min="1824" max="2038" width="9.44140625" style="72"/>
    <col min="2039" max="2039" width="2.44140625" style="72" customWidth="1"/>
    <col min="2040" max="2040" width="3.5546875" style="72" customWidth="1"/>
    <col min="2041" max="2041" width="2.5546875" style="72" customWidth="1"/>
    <col min="2042" max="2042" width="39.44140625" style="72" customWidth="1"/>
    <col min="2043" max="2043" width="5.44140625" style="72" customWidth="1"/>
    <col min="2044" max="2044" width="4" style="72" customWidth="1"/>
    <col min="2045" max="2045" width="11.44140625" style="72" customWidth="1"/>
    <col min="2046" max="2046" width="14.44140625" style="72" customWidth="1"/>
    <col min="2047" max="2047" width="15.5546875" style="72" customWidth="1"/>
    <col min="2048" max="2048" width="11.44140625" style="72" customWidth="1"/>
    <col min="2049" max="2049" width="11.5546875" style="72" customWidth="1"/>
    <col min="2050" max="2063" width="12.44140625" style="72" customWidth="1"/>
    <col min="2064" max="2064" width="12" style="72" customWidth="1"/>
    <col min="2065" max="2068" width="12.44140625" style="72" customWidth="1"/>
    <col min="2069" max="2077" width="12" style="72" customWidth="1"/>
    <col min="2078" max="2079" width="9.44140625" style="72" customWidth="1"/>
    <col min="2080" max="2294" width="9.44140625" style="72"/>
    <col min="2295" max="2295" width="2.44140625" style="72" customWidth="1"/>
    <col min="2296" max="2296" width="3.5546875" style="72" customWidth="1"/>
    <col min="2297" max="2297" width="2.5546875" style="72" customWidth="1"/>
    <col min="2298" max="2298" width="39.44140625" style="72" customWidth="1"/>
    <col min="2299" max="2299" width="5.44140625" style="72" customWidth="1"/>
    <col min="2300" max="2300" width="4" style="72" customWidth="1"/>
    <col min="2301" max="2301" width="11.44140625" style="72" customWidth="1"/>
    <col min="2302" max="2302" width="14.44140625" style="72" customWidth="1"/>
    <col min="2303" max="2303" width="15.5546875" style="72" customWidth="1"/>
    <col min="2304" max="2304" width="11.44140625" style="72" customWidth="1"/>
    <col min="2305" max="2305" width="11.5546875" style="72" customWidth="1"/>
    <col min="2306" max="2319" width="12.44140625" style="72" customWidth="1"/>
    <col min="2320" max="2320" width="12" style="72" customWidth="1"/>
    <col min="2321" max="2324" width="12.44140625" style="72" customWidth="1"/>
    <col min="2325" max="2333" width="12" style="72" customWidth="1"/>
    <col min="2334" max="2335" width="9.44140625" style="72" customWidth="1"/>
    <col min="2336" max="2550" width="9.44140625" style="72"/>
    <col min="2551" max="2551" width="2.44140625" style="72" customWidth="1"/>
    <col min="2552" max="2552" width="3.5546875" style="72" customWidth="1"/>
    <col min="2553" max="2553" width="2.5546875" style="72" customWidth="1"/>
    <col min="2554" max="2554" width="39.44140625" style="72" customWidth="1"/>
    <col min="2555" max="2555" width="5.44140625" style="72" customWidth="1"/>
    <col min="2556" max="2556" width="4" style="72" customWidth="1"/>
    <col min="2557" max="2557" width="11.44140625" style="72" customWidth="1"/>
    <col min="2558" max="2558" width="14.44140625" style="72" customWidth="1"/>
    <col min="2559" max="2559" width="15.5546875" style="72" customWidth="1"/>
    <col min="2560" max="2560" width="11.44140625" style="72" customWidth="1"/>
    <col min="2561" max="2561" width="11.5546875" style="72" customWidth="1"/>
    <col min="2562" max="2575" width="12.44140625" style="72" customWidth="1"/>
    <col min="2576" max="2576" width="12" style="72" customWidth="1"/>
    <col min="2577" max="2580" width="12.44140625" style="72" customWidth="1"/>
    <col min="2581" max="2589" width="12" style="72" customWidth="1"/>
    <col min="2590" max="2591" width="9.44140625" style="72" customWidth="1"/>
    <col min="2592" max="2806" width="9.44140625" style="72"/>
    <col min="2807" max="2807" width="2.44140625" style="72" customWidth="1"/>
    <col min="2808" max="2808" width="3.5546875" style="72" customWidth="1"/>
    <col min="2809" max="2809" width="2.5546875" style="72" customWidth="1"/>
    <col min="2810" max="2810" width="39.44140625" style="72" customWidth="1"/>
    <col min="2811" max="2811" width="5.44140625" style="72" customWidth="1"/>
    <col min="2812" max="2812" width="4" style="72" customWidth="1"/>
    <col min="2813" max="2813" width="11.44140625" style="72" customWidth="1"/>
    <col min="2814" max="2814" width="14.44140625" style="72" customWidth="1"/>
    <col min="2815" max="2815" width="15.5546875" style="72" customWidth="1"/>
    <col min="2816" max="2816" width="11.44140625" style="72" customWidth="1"/>
    <col min="2817" max="2817" width="11.5546875" style="72" customWidth="1"/>
    <col min="2818" max="2831" width="12.44140625" style="72" customWidth="1"/>
    <col min="2832" max="2832" width="12" style="72" customWidth="1"/>
    <col min="2833" max="2836" width="12.44140625" style="72" customWidth="1"/>
    <col min="2837" max="2845" width="12" style="72" customWidth="1"/>
    <col min="2846" max="2847" width="9.44140625" style="72" customWidth="1"/>
    <col min="2848" max="3062" width="9.44140625" style="72"/>
    <col min="3063" max="3063" width="2.44140625" style="72" customWidth="1"/>
    <col min="3064" max="3064" width="3.5546875" style="72" customWidth="1"/>
    <col min="3065" max="3065" width="2.5546875" style="72" customWidth="1"/>
    <col min="3066" max="3066" width="39.44140625" style="72" customWidth="1"/>
    <col min="3067" max="3067" width="5.44140625" style="72" customWidth="1"/>
    <col min="3068" max="3068" width="4" style="72" customWidth="1"/>
    <col min="3069" max="3069" width="11.44140625" style="72" customWidth="1"/>
    <col min="3070" max="3070" width="14.44140625" style="72" customWidth="1"/>
    <col min="3071" max="3071" width="15.5546875" style="72" customWidth="1"/>
    <col min="3072" max="3072" width="11.44140625" style="72" customWidth="1"/>
    <col min="3073" max="3073" width="11.5546875" style="72" customWidth="1"/>
    <col min="3074" max="3087" width="12.44140625" style="72" customWidth="1"/>
    <col min="3088" max="3088" width="12" style="72" customWidth="1"/>
    <col min="3089" max="3092" width="12.44140625" style="72" customWidth="1"/>
    <col min="3093" max="3101" width="12" style="72" customWidth="1"/>
    <col min="3102" max="3103" width="9.44140625" style="72" customWidth="1"/>
    <col min="3104" max="3318" width="9.44140625" style="72"/>
    <col min="3319" max="3319" width="2.44140625" style="72" customWidth="1"/>
    <col min="3320" max="3320" width="3.5546875" style="72" customWidth="1"/>
    <col min="3321" max="3321" width="2.5546875" style="72" customWidth="1"/>
    <col min="3322" max="3322" width="39.44140625" style="72" customWidth="1"/>
    <col min="3323" max="3323" width="5.44140625" style="72" customWidth="1"/>
    <col min="3324" max="3324" width="4" style="72" customWidth="1"/>
    <col min="3325" max="3325" width="11.44140625" style="72" customWidth="1"/>
    <col min="3326" max="3326" width="14.44140625" style="72" customWidth="1"/>
    <col min="3327" max="3327" width="15.5546875" style="72" customWidth="1"/>
    <col min="3328" max="3328" width="11.44140625" style="72" customWidth="1"/>
    <col min="3329" max="3329" width="11.5546875" style="72" customWidth="1"/>
    <col min="3330" max="3343" width="12.44140625" style="72" customWidth="1"/>
    <col min="3344" max="3344" width="12" style="72" customWidth="1"/>
    <col min="3345" max="3348" width="12.44140625" style="72" customWidth="1"/>
    <col min="3349" max="3357" width="12" style="72" customWidth="1"/>
    <col min="3358" max="3359" width="9.44140625" style="72" customWidth="1"/>
    <col min="3360" max="3574" width="9.44140625" style="72"/>
    <col min="3575" max="3575" width="2.44140625" style="72" customWidth="1"/>
    <col min="3576" max="3576" width="3.5546875" style="72" customWidth="1"/>
    <col min="3577" max="3577" width="2.5546875" style="72" customWidth="1"/>
    <col min="3578" max="3578" width="39.44140625" style="72" customWidth="1"/>
    <col min="3579" max="3579" width="5.44140625" style="72" customWidth="1"/>
    <col min="3580" max="3580" width="4" style="72" customWidth="1"/>
    <col min="3581" max="3581" width="11.44140625" style="72" customWidth="1"/>
    <col min="3582" max="3582" width="14.44140625" style="72" customWidth="1"/>
    <col min="3583" max="3583" width="15.5546875" style="72" customWidth="1"/>
    <col min="3584" max="3584" width="11.44140625" style="72" customWidth="1"/>
    <col min="3585" max="3585" width="11.5546875" style="72" customWidth="1"/>
    <col min="3586" max="3599" width="12.44140625" style="72" customWidth="1"/>
    <col min="3600" max="3600" width="12" style="72" customWidth="1"/>
    <col min="3601" max="3604" width="12.44140625" style="72" customWidth="1"/>
    <col min="3605" max="3613" width="12" style="72" customWidth="1"/>
    <col min="3614" max="3615" width="9.44140625" style="72" customWidth="1"/>
    <col min="3616" max="3830" width="9.44140625" style="72"/>
    <col min="3831" max="3831" width="2.44140625" style="72" customWidth="1"/>
    <col min="3832" max="3832" width="3.5546875" style="72" customWidth="1"/>
    <col min="3833" max="3833" width="2.5546875" style="72" customWidth="1"/>
    <col min="3834" max="3834" width="39.44140625" style="72" customWidth="1"/>
    <col min="3835" max="3835" width="5.44140625" style="72" customWidth="1"/>
    <col min="3836" max="3836" width="4" style="72" customWidth="1"/>
    <col min="3837" max="3837" width="11.44140625" style="72" customWidth="1"/>
    <col min="3838" max="3838" width="14.44140625" style="72" customWidth="1"/>
    <col min="3839" max="3839" width="15.5546875" style="72" customWidth="1"/>
    <col min="3840" max="3840" width="11.44140625" style="72" customWidth="1"/>
    <col min="3841" max="3841" width="11.5546875" style="72" customWidth="1"/>
    <col min="3842" max="3855" width="12.44140625" style="72" customWidth="1"/>
    <col min="3856" max="3856" width="12" style="72" customWidth="1"/>
    <col min="3857" max="3860" width="12.44140625" style="72" customWidth="1"/>
    <col min="3861" max="3869" width="12" style="72" customWidth="1"/>
    <col min="3870" max="3871" width="9.44140625" style="72" customWidth="1"/>
    <col min="3872" max="4086" width="9.44140625" style="72"/>
    <col min="4087" max="4087" width="2.44140625" style="72" customWidth="1"/>
    <col min="4088" max="4088" width="3.5546875" style="72" customWidth="1"/>
    <col min="4089" max="4089" width="2.5546875" style="72" customWidth="1"/>
    <col min="4090" max="4090" width="39.44140625" style="72" customWidth="1"/>
    <col min="4091" max="4091" width="5.44140625" style="72" customWidth="1"/>
    <col min="4092" max="4092" width="4" style="72" customWidth="1"/>
    <col min="4093" max="4093" width="11.44140625" style="72" customWidth="1"/>
    <col min="4094" max="4094" width="14.44140625" style="72" customWidth="1"/>
    <col min="4095" max="4095" width="15.5546875" style="72" customWidth="1"/>
    <col min="4096" max="4096" width="11.44140625" style="72" customWidth="1"/>
    <col min="4097" max="4097" width="11.5546875" style="72" customWidth="1"/>
    <col min="4098" max="4111" width="12.44140625" style="72" customWidth="1"/>
    <col min="4112" max="4112" width="12" style="72" customWidth="1"/>
    <col min="4113" max="4116" width="12.44140625" style="72" customWidth="1"/>
    <col min="4117" max="4125" width="12" style="72" customWidth="1"/>
    <col min="4126" max="4127" width="9.44140625" style="72" customWidth="1"/>
    <col min="4128" max="4342" width="9.44140625" style="72"/>
    <col min="4343" max="4343" width="2.44140625" style="72" customWidth="1"/>
    <col min="4344" max="4344" width="3.5546875" style="72" customWidth="1"/>
    <col min="4345" max="4345" width="2.5546875" style="72" customWidth="1"/>
    <col min="4346" max="4346" width="39.44140625" style="72" customWidth="1"/>
    <col min="4347" max="4347" width="5.44140625" style="72" customWidth="1"/>
    <col min="4348" max="4348" width="4" style="72" customWidth="1"/>
    <col min="4349" max="4349" width="11.44140625" style="72" customWidth="1"/>
    <col min="4350" max="4350" width="14.44140625" style="72" customWidth="1"/>
    <col min="4351" max="4351" width="15.5546875" style="72" customWidth="1"/>
    <col min="4352" max="4352" width="11.44140625" style="72" customWidth="1"/>
    <col min="4353" max="4353" width="11.5546875" style="72" customWidth="1"/>
    <col min="4354" max="4367" width="12.44140625" style="72" customWidth="1"/>
    <col min="4368" max="4368" width="12" style="72" customWidth="1"/>
    <col min="4369" max="4372" width="12.44140625" style="72" customWidth="1"/>
    <col min="4373" max="4381" width="12" style="72" customWidth="1"/>
    <col min="4382" max="4383" width="9.44140625" style="72" customWidth="1"/>
    <col min="4384" max="4598" width="9.44140625" style="72"/>
    <col min="4599" max="4599" width="2.44140625" style="72" customWidth="1"/>
    <col min="4600" max="4600" width="3.5546875" style="72" customWidth="1"/>
    <col min="4601" max="4601" width="2.5546875" style="72" customWidth="1"/>
    <col min="4602" max="4602" width="39.44140625" style="72" customWidth="1"/>
    <col min="4603" max="4603" width="5.44140625" style="72" customWidth="1"/>
    <col min="4604" max="4604" width="4" style="72" customWidth="1"/>
    <col min="4605" max="4605" width="11.44140625" style="72" customWidth="1"/>
    <col min="4606" max="4606" width="14.44140625" style="72" customWidth="1"/>
    <col min="4607" max="4607" width="15.5546875" style="72" customWidth="1"/>
    <col min="4608" max="4608" width="11.44140625" style="72" customWidth="1"/>
    <col min="4609" max="4609" width="11.5546875" style="72" customWidth="1"/>
    <col min="4610" max="4623" width="12.44140625" style="72" customWidth="1"/>
    <col min="4624" max="4624" width="12" style="72" customWidth="1"/>
    <col min="4625" max="4628" width="12.44140625" style="72" customWidth="1"/>
    <col min="4629" max="4637" width="12" style="72" customWidth="1"/>
    <col min="4638" max="4639" width="9.44140625" style="72" customWidth="1"/>
    <col min="4640" max="4854" width="9.44140625" style="72"/>
    <col min="4855" max="4855" width="2.44140625" style="72" customWidth="1"/>
    <col min="4856" max="4856" width="3.5546875" style="72" customWidth="1"/>
    <col min="4857" max="4857" width="2.5546875" style="72" customWidth="1"/>
    <col min="4858" max="4858" width="39.44140625" style="72" customWidth="1"/>
    <col min="4859" max="4859" width="5.44140625" style="72" customWidth="1"/>
    <col min="4860" max="4860" width="4" style="72" customWidth="1"/>
    <col min="4861" max="4861" width="11.44140625" style="72" customWidth="1"/>
    <col min="4862" max="4862" width="14.44140625" style="72" customWidth="1"/>
    <col min="4863" max="4863" width="15.5546875" style="72" customWidth="1"/>
    <col min="4864" max="4864" width="11.44140625" style="72" customWidth="1"/>
    <col min="4865" max="4865" width="11.5546875" style="72" customWidth="1"/>
    <col min="4866" max="4879" width="12.44140625" style="72" customWidth="1"/>
    <col min="4880" max="4880" width="12" style="72" customWidth="1"/>
    <col min="4881" max="4884" width="12.44140625" style="72" customWidth="1"/>
    <col min="4885" max="4893" width="12" style="72" customWidth="1"/>
    <col min="4894" max="4895" width="9.44140625" style="72" customWidth="1"/>
    <col min="4896" max="5110" width="9.44140625" style="72"/>
    <col min="5111" max="5111" width="2.44140625" style="72" customWidth="1"/>
    <col min="5112" max="5112" width="3.5546875" style="72" customWidth="1"/>
    <col min="5113" max="5113" width="2.5546875" style="72" customWidth="1"/>
    <col min="5114" max="5114" width="39.44140625" style="72" customWidth="1"/>
    <col min="5115" max="5115" width="5.44140625" style="72" customWidth="1"/>
    <col min="5116" max="5116" width="4" style="72" customWidth="1"/>
    <col min="5117" max="5117" width="11.44140625" style="72" customWidth="1"/>
    <col min="5118" max="5118" width="14.44140625" style="72" customWidth="1"/>
    <col min="5119" max="5119" width="15.5546875" style="72" customWidth="1"/>
    <col min="5120" max="5120" width="11.44140625" style="72" customWidth="1"/>
    <col min="5121" max="5121" width="11.5546875" style="72" customWidth="1"/>
    <col min="5122" max="5135" width="12.44140625" style="72" customWidth="1"/>
    <col min="5136" max="5136" width="12" style="72" customWidth="1"/>
    <col min="5137" max="5140" width="12.44140625" style="72" customWidth="1"/>
    <col min="5141" max="5149" width="12" style="72" customWidth="1"/>
    <col min="5150" max="5151" width="9.44140625" style="72" customWidth="1"/>
    <col min="5152" max="5366" width="9.44140625" style="72"/>
    <col min="5367" max="5367" width="2.44140625" style="72" customWidth="1"/>
    <col min="5368" max="5368" width="3.5546875" style="72" customWidth="1"/>
    <col min="5369" max="5369" width="2.5546875" style="72" customWidth="1"/>
    <col min="5370" max="5370" width="39.44140625" style="72" customWidth="1"/>
    <col min="5371" max="5371" width="5.44140625" style="72" customWidth="1"/>
    <col min="5372" max="5372" width="4" style="72" customWidth="1"/>
    <col min="5373" max="5373" width="11.44140625" style="72" customWidth="1"/>
    <col min="5374" max="5374" width="14.44140625" style="72" customWidth="1"/>
    <col min="5375" max="5375" width="15.5546875" style="72" customWidth="1"/>
    <col min="5376" max="5376" width="11.44140625" style="72" customWidth="1"/>
    <col min="5377" max="5377" width="11.5546875" style="72" customWidth="1"/>
    <col min="5378" max="5391" width="12.44140625" style="72" customWidth="1"/>
    <col min="5392" max="5392" width="12" style="72" customWidth="1"/>
    <col min="5393" max="5396" width="12.44140625" style="72" customWidth="1"/>
    <col min="5397" max="5405" width="12" style="72" customWidth="1"/>
    <col min="5406" max="5407" width="9.44140625" style="72" customWidth="1"/>
    <col min="5408" max="5622" width="9.44140625" style="72"/>
    <col min="5623" max="5623" width="2.44140625" style="72" customWidth="1"/>
    <col min="5624" max="5624" width="3.5546875" style="72" customWidth="1"/>
    <col min="5625" max="5625" width="2.5546875" style="72" customWidth="1"/>
    <col min="5626" max="5626" width="39.44140625" style="72" customWidth="1"/>
    <col min="5627" max="5627" width="5.44140625" style="72" customWidth="1"/>
    <col min="5628" max="5628" width="4" style="72" customWidth="1"/>
    <col min="5629" max="5629" width="11.44140625" style="72" customWidth="1"/>
    <col min="5630" max="5630" width="14.44140625" style="72" customWidth="1"/>
    <col min="5631" max="5631" width="15.5546875" style="72" customWidth="1"/>
    <col min="5632" max="5632" width="11.44140625" style="72" customWidth="1"/>
    <col min="5633" max="5633" width="11.5546875" style="72" customWidth="1"/>
    <col min="5634" max="5647" width="12.44140625" style="72" customWidth="1"/>
    <col min="5648" max="5648" width="12" style="72" customWidth="1"/>
    <col min="5649" max="5652" width="12.44140625" style="72" customWidth="1"/>
    <col min="5653" max="5661" width="12" style="72" customWidth="1"/>
    <col min="5662" max="5663" width="9.44140625" style="72" customWidth="1"/>
    <col min="5664" max="5878" width="9.44140625" style="72"/>
    <col min="5879" max="5879" width="2.44140625" style="72" customWidth="1"/>
    <col min="5880" max="5880" width="3.5546875" style="72" customWidth="1"/>
    <col min="5881" max="5881" width="2.5546875" style="72" customWidth="1"/>
    <col min="5882" max="5882" width="39.44140625" style="72" customWidth="1"/>
    <col min="5883" max="5883" width="5.44140625" style="72" customWidth="1"/>
    <col min="5884" max="5884" width="4" style="72" customWidth="1"/>
    <col min="5885" max="5885" width="11.44140625" style="72" customWidth="1"/>
    <col min="5886" max="5886" width="14.44140625" style="72" customWidth="1"/>
    <col min="5887" max="5887" width="15.5546875" style="72" customWidth="1"/>
    <col min="5888" max="5888" width="11.44140625" style="72" customWidth="1"/>
    <col min="5889" max="5889" width="11.5546875" style="72" customWidth="1"/>
    <col min="5890" max="5903" width="12.44140625" style="72" customWidth="1"/>
    <col min="5904" max="5904" width="12" style="72" customWidth="1"/>
    <col min="5905" max="5908" width="12.44140625" style="72" customWidth="1"/>
    <col min="5909" max="5917" width="12" style="72" customWidth="1"/>
    <col min="5918" max="5919" width="9.44140625" style="72" customWidth="1"/>
    <col min="5920" max="6134" width="9.44140625" style="72"/>
    <col min="6135" max="6135" width="2.44140625" style="72" customWidth="1"/>
    <col min="6136" max="6136" width="3.5546875" style="72" customWidth="1"/>
    <col min="6137" max="6137" width="2.5546875" style="72" customWidth="1"/>
    <col min="6138" max="6138" width="39.44140625" style="72" customWidth="1"/>
    <col min="6139" max="6139" width="5.44140625" style="72" customWidth="1"/>
    <col min="6140" max="6140" width="4" style="72" customWidth="1"/>
    <col min="6141" max="6141" width="11.44140625" style="72" customWidth="1"/>
    <col min="6142" max="6142" width="14.44140625" style="72" customWidth="1"/>
    <col min="6143" max="6143" width="15.5546875" style="72" customWidth="1"/>
    <col min="6144" max="6144" width="11.44140625" style="72" customWidth="1"/>
    <col min="6145" max="6145" width="11.5546875" style="72" customWidth="1"/>
    <col min="6146" max="6159" width="12.44140625" style="72" customWidth="1"/>
    <col min="6160" max="6160" width="12" style="72" customWidth="1"/>
    <col min="6161" max="6164" width="12.44140625" style="72" customWidth="1"/>
    <col min="6165" max="6173" width="12" style="72" customWidth="1"/>
    <col min="6174" max="6175" width="9.44140625" style="72" customWidth="1"/>
    <col min="6176" max="6390" width="9.44140625" style="72"/>
    <col min="6391" max="6391" width="2.44140625" style="72" customWidth="1"/>
    <col min="6392" max="6392" width="3.5546875" style="72" customWidth="1"/>
    <col min="6393" max="6393" width="2.5546875" style="72" customWidth="1"/>
    <col min="6394" max="6394" width="39.44140625" style="72" customWidth="1"/>
    <col min="6395" max="6395" width="5.44140625" style="72" customWidth="1"/>
    <col min="6396" max="6396" width="4" style="72" customWidth="1"/>
    <col min="6397" max="6397" width="11.44140625" style="72" customWidth="1"/>
    <col min="6398" max="6398" width="14.44140625" style="72" customWidth="1"/>
    <col min="6399" max="6399" width="15.5546875" style="72" customWidth="1"/>
    <col min="6400" max="6400" width="11.44140625" style="72" customWidth="1"/>
    <col min="6401" max="6401" width="11.5546875" style="72" customWidth="1"/>
    <col min="6402" max="6415" width="12.44140625" style="72" customWidth="1"/>
    <col min="6416" max="6416" width="12" style="72" customWidth="1"/>
    <col min="6417" max="6420" width="12.44140625" style="72" customWidth="1"/>
    <col min="6421" max="6429" width="12" style="72" customWidth="1"/>
    <col min="6430" max="6431" width="9.44140625" style="72" customWidth="1"/>
    <col min="6432" max="6646" width="9.44140625" style="72"/>
    <col min="6647" max="6647" width="2.44140625" style="72" customWidth="1"/>
    <col min="6648" max="6648" width="3.5546875" style="72" customWidth="1"/>
    <col min="6649" max="6649" width="2.5546875" style="72" customWidth="1"/>
    <col min="6650" max="6650" width="39.44140625" style="72" customWidth="1"/>
    <col min="6651" max="6651" width="5.44140625" style="72" customWidth="1"/>
    <col min="6652" max="6652" width="4" style="72" customWidth="1"/>
    <col min="6653" max="6653" width="11.44140625" style="72" customWidth="1"/>
    <col min="6654" max="6654" width="14.44140625" style="72" customWidth="1"/>
    <col min="6655" max="6655" width="15.5546875" style="72" customWidth="1"/>
    <col min="6656" max="6656" width="11.44140625" style="72" customWidth="1"/>
    <col min="6657" max="6657" width="11.5546875" style="72" customWidth="1"/>
    <col min="6658" max="6671" width="12.44140625" style="72" customWidth="1"/>
    <col min="6672" max="6672" width="12" style="72" customWidth="1"/>
    <col min="6673" max="6676" width="12.44140625" style="72" customWidth="1"/>
    <col min="6677" max="6685" width="12" style="72" customWidth="1"/>
    <col min="6686" max="6687" width="9.44140625" style="72" customWidth="1"/>
    <col min="6688" max="6902" width="9.44140625" style="72"/>
    <col min="6903" max="6903" width="2.44140625" style="72" customWidth="1"/>
    <col min="6904" max="6904" width="3.5546875" style="72" customWidth="1"/>
    <col min="6905" max="6905" width="2.5546875" style="72" customWidth="1"/>
    <col min="6906" max="6906" width="39.44140625" style="72" customWidth="1"/>
    <col min="6907" max="6907" width="5.44140625" style="72" customWidth="1"/>
    <col min="6908" max="6908" width="4" style="72" customWidth="1"/>
    <col min="6909" max="6909" width="11.44140625" style="72" customWidth="1"/>
    <col min="6910" max="6910" width="14.44140625" style="72" customWidth="1"/>
    <col min="6911" max="6911" width="15.5546875" style="72" customWidth="1"/>
    <col min="6912" max="6912" width="11.44140625" style="72" customWidth="1"/>
    <col min="6913" max="6913" width="11.5546875" style="72" customWidth="1"/>
    <col min="6914" max="6927" width="12.44140625" style="72" customWidth="1"/>
    <col min="6928" max="6928" width="12" style="72" customWidth="1"/>
    <col min="6929" max="6932" width="12.44140625" style="72" customWidth="1"/>
    <col min="6933" max="6941" width="12" style="72" customWidth="1"/>
    <col min="6942" max="6943" width="9.44140625" style="72" customWidth="1"/>
    <col min="6944" max="7158" width="9.44140625" style="72"/>
    <col min="7159" max="7159" width="2.44140625" style="72" customWidth="1"/>
    <col min="7160" max="7160" width="3.5546875" style="72" customWidth="1"/>
    <col min="7161" max="7161" width="2.5546875" style="72" customWidth="1"/>
    <col min="7162" max="7162" width="39.44140625" style="72" customWidth="1"/>
    <col min="7163" max="7163" width="5.44140625" style="72" customWidth="1"/>
    <col min="7164" max="7164" width="4" style="72" customWidth="1"/>
    <col min="7165" max="7165" width="11.44140625" style="72" customWidth="1"/>
    <col min="7166" max="7166" width="14.44140625" style="72" customWidth="1"/>
    <col min="7167" max="7167" width="15.5546875" style="72" customWidth="1"/>
    <col min="7168" max="7168" width="11.44140625" style="72" customWidth="1"/>
    <col min="7169" max="7169" width="11.5546875" style="72" customWidth="1"/>
    <col min="7170" max="7183" width="12.44140625" style="72" customWidth="1"/>
    <col min="7184" max="7184" width="12" style="72" customWidth="1"/>
    <col min="7185" max="7188" width="12.44140625" style="72" customWidth="1"/>
    <col min="7189" max="7197" width="12" style="72" customWidth="1"/>
    <col min="7198" max="7199" width="9.44140625" style="72" customWidth="1"/>
    <col min="7200" max="7414" width="9.44140625" style="72"/>
    <col min="7415" max="7415" width="2.44140625" style="72" customWidth="1"/>
    <col min="7416" max="7416" width="3.5546875" style="72" customWidth="1"/>
    <col min="7417" max="7417" width="2.5546875" style="72" customWidth="1"/>
    <col min="7418" max="7418" width="39.44140625" style="72" customWidth="1"/>
    <col min="7419" max="7419" width="5.44140625" style="72" customWidth="1"/>
    <col min="7420" max="7420" width="4" style="72" customWidth="1"/>
    <col min="7421" max="7421" width="11.44140625" style="72" customWidth="1"/>
    <col min="7422" max="7422" width="14.44140625" style="72" customWidth="1"/>
    <col min="7423" max="7423" width="15.5546875" style="72" customWidth="1"/>
    <col min="7424" max="7424" width="11.44140625" style="72" customWidth="1"/>
    <col min="7425" max="7425" width="11.5546875" style="72" customWidth="1"/>
    <col min="7426" max="7439" width="12.44140625" style="72" customWidth="1"/>
    <col min="7440" max="7440" width="12" style="72" customWidth="1"/>
    <col min="7441" max="7444" width="12.44140625" style="72" customWidth="1"/>
    <col min="7445" max="7453" width="12" style="72" customWidth="1"/>
    <col min="7454" max="7455" width="9.44140625" style="72" customWidth="1"/>
    <col min="7456" max="7670" width="9.44140625" style="72"/>
    <col min="7671" max="7671" width="2.44140625" style="72" customWidth="1"/>
    <col min="7672" max="7672" width="3.5546875" style="72" customWidth="1"/>
    <col min="7673" max="7673" width="2.5546875" style="72" customWidth="1"/>
    <col min="7674" max="7674" width="39.44140625" style="72" customWidth="1"/>
    <col min="7675" max="7675" width="5.44140625" style="72" customWidth="1"/>
    <col min="7676" max="7676" width="4" style="72" customWidth="1"/>
    <col min="7677" max="7677" width="11.44140625" style="72" customWidth="1"/>
    <col min="7678" max="7678" width="14.44140625" style="72" customWidth="1"/>
    <col min="7679" max="7679" width="15.5546875" style="72" customWidth="1"/>
    <col min="7680" max="7680" width="11.44140625" style="72" customWidth="1"/>
    <col min="7681" max="7681" width="11.5546875" style="72" customWidth="1"/>
    <col min="7682" max="7695" width="12.44140625" style="72" customWidth="1"/>
    <col min="7696" max="7696" width="12" style="72" customWidth="1"/>
    <col min="7697" max="7700" width="12.44140625" style="72" customWidth="1"/>
    <col min="7701" max="7709" width="12" style="72" customWidth="1"/>
    <col min="7710" max="7711" width="9.44140625" style="72" customWidth="1"/>
    <col min="7712" max="7926" width="9.44140625" style="72"/>
    <col min="7927" max="7927" width="2.44140625" style="72" customWidth="1"/>
    <col min="7928" max="7928" width="3.5546875" style="72" customWidth="1"/>
    <col min="7929" max="7929" width="2.5546875" style="72" customWidth="1"/>
    <col min="7930" max="7930" width="39.44140625" style="72" customWidth="1"/>
    <col min="7931" max="7931" width="5.44140625" style="72" customWidth="1"/>
    <col min="7932" max="7932" width="4" style="72" customWidth="1"/>
    <col min="7933" max="7933" width="11.44140625" style="72" customWidth="1"/>
    <col min="7934" max="7934" width="14.44140625" style="72" customWidth="1"/>
    <col min="7935" max="7935" width="15.5546875" style="72" customWidth="1"/>
    <col min="7936" max="7936" width="11.44140625" style="72" customWidth="1"/>
    <col min="7937" max="7937" width="11.5546875" style="72" customWidth="1"/>
    <col min="7938" max="7951" width="12.44140625" style="72" customWidth="1"/>
    <col min="7952" max="7952" width="12" style="72" customWidth="1"/>
    <col min="7953" max="7956" width="12.44140625" style="72" customWidth="1"/>
    <col min="7957" max="7965" width="12" style="72" customWidth="1"/>
    <col min="7966" max="7967" width="9.44140625" style="72" customWidth="1"/>
    <col min="7968" max="8182" width="9.44140625" style="72"/>
    <col min="8183" max="8183" width="2.44140625" style="72" customWidth="1"/>
    <col min="8184" max="8184" width="3.5546875" style="72" customWidth="1"/>
    <col min="8185" max="8185" width="2.5546875" style="72" customWidth="1"/>
    <col min="8186" max="8186" width="39.44140625" style="72" customWidth="1"/>
    <col min="8187" max="8187" width="5.44140625" style="72" customWidth="1"/>
    <col min="8188" max="8188" width="4" style="72" customWidth="1"/>
    <col min="8189" max="8189" width="11.44140625" style="72" customWidth="1"/>
    <col min="8190" max="8190" width="14.44140625" style="72" customWidth="1"/>
    <col min="8191" max="8191" width="15.5546875" style="72" customWidth="1"/>
    <col min="8192" max="8192" width="11.44140625" style="72" customWidth="1"/>
    <col min="8193" max="8193" width="11.5546875" style="72" customWidth="1"/>
    <col min="8194" max="8207" width="12.44140625" style="72" customWidth="1"/>
    <col min="8208" max="8208" width="12" style="72" customWidth="1"/>
    <col min="8209" max="8212" width="12.44140625" style="72" customWidth="1"/>
    <col min="8213" max="8221" width="12" style="72" customWidth="1"/>
    <col min="8222" max="8223" width="9.44140625" style="72" customWidth="1"/>
    <col min="8224" max="8438" width="9.44140625" style="72"/>
    <col min="8439" max="8439" width="2.44140625" style="72" customWidth="1"/>
    <col min="8440" max="8440" width="3.5546875" style="72" customWidth="1"/>
    <col min="8441" max="8441" width="2.5546875" style="72" customWidth="1"/>
    <col min="8442" max="8442" width="39.44140625" style="72" customWidth="1"/>
    <col min="8443" max="8443" width="5.44140625" style="72" customWidth="1"/>
    <col min="8444" max="8444" width="4" style="72" customWidth="1"/>
    <col min="8445" max="8445" width="11.44140625" style="72" customWidth="1"/>
    <col min="8446" max="8446" width="14.44140625" style="72" customWidth="1"/>
    <col min="8447" max="8447" width="15.5546875" style="72" customWidth="1"/>
    <col min="8448" max="8448" width="11.44140625" style="72" customWidth="1"/>
    <col min="8449" max="8449" width="11.5546875" style="72" customWidth="1"/>
    <col min="8450" max="8463" width="12.44140625" style="72" customWidth="1"/>
    <col min="8464" max="8464" width="12" style="72" customWidth="1"/>
    <col min="8465" max="8468" width="12.44140625" style="72" customWidth="1"/>
    <col min="8469" max="8477" width="12" style="72" customWidth="1"/>
    <col min="8478" max="8479" width="9.44140625" style="72" customWidth="1"/>
    <col min="8480" max="8694" width="9.44140625" style="72"/>
    <col min="8695" max="8695" width="2.44140625" style="72" customWidth="1"/>
    <col min="8696" max="8696" width="3.5546875" style="72" customWidth="1"/>
    <col min="8697" max="8697" width="2.5546875" style="72" customWidth="1"/>
    <col min="8698" max="8698" width="39.44140625" style="72" customWidth="1"/>
    <col min="8699" max="8699" width="5.44140625" style="72" customWidth="1"/>
    <col min="8700" max="8700" width="4" style="72" customWidth="1"/>
    <col min="8701" max="8701" width="11.44140625" style="72" customWidth="1"/>
    <col min="8702" max="8702" width="14.44140625" style="72" customWidth="1"/>
    <col min="8703" max="8703" width="15.5546875" style="72" customWidth="1"/>
    <col min="8704" max="8704" width="11.44140625" style="72" customWidth="1"/>
    <col min="8705" max="8705" width="11.5546875" style="72" customWidth="1"/>
    <col min="8706" max="8719" width="12.44140625" style="72" customWidth="1"/>
    <col min="8720" max="8720" width="12" style="72" customWidth="1"/>
    <col min="8721" max="8724" width="12.44140625" style="72" customWidth="1"/>
    <col min="8725" max="8733" width="12" style="72" customWidth="1"/>
    <col min="8734" max="8735" width="9.44140625" style="72" customWidth="1"/>
    <col min="8736" max="8950" width="9.44140625" style="72"/>
    <col min="8951" max="8951" width="2.44140625" style="72" customWidth="1"/>
    <col min="8952" max="8952" width="3.5546875" style="72" customWidth="1"/>
    <col min="8953" max="8953" width="2.5546875" style="72" customWidth="1"/>
    <col min="8954" max="8954" width="39.44140625" style="72" customWidth="1"/>
    <col min="8955" max="8955" width="5.44140625" style="72" customWidth="1"/>
    <col min="8956" max="8956" width="4" style="72" customWidth="1"/>
    <col min="8957" max="8957" width="11.44140625" style="72" customWidth="1"/>
    <col min="8958" max="8958" width="14.44140625" style="72" customWidth="1"/>
    <col min="8959" max="8959" width="15.5546875" style="72" customWidth="1"/>
    <col min="8960" max="8960" width="11.44140625" style="72" customWidth="1"/>
    <col min="8961" max="8961" width="11.5546875" style="72" customWidth="1"/>
    <col min="8962" max="8975" width="12.44140625" style="72" customWidth="1"/>
    <col min="8976" max="8976" width="12" style="72" customWidth="1"/>
    <col min="8977" max="8980" width="12.44140625" style="72" customWidth="1"/>
    <col min="8981" max="8989" width="12" style="72" customWidth="1"/>
    <col min="8990" max="8991" width="9.44140625" style="72" customWidth="1"/>
    <col min="8992" max="9206" width="9.44140625" style="72"/>
    <col min="9207" max="9207" width="2.44140625" style="72" customWidth="1"/>
    <col min="9208" max="9208" width="3.5546875" style="72" customWidth="1"/>
    <col min="9209" max="9209" width="2.5546875" style="72" customWidth="1"/>
    <col min="9210" max="9210" width="39.44140625" style="72" customWidth="1"/>
    <col min="9211" max="9211" width="5.44140625" style="72" customWidth="1"/>
    <col min="9212" max="9212" width="4" style="72" customWidth="1"/>
    <col min="9213" max="9213" width="11.44140625" style="72" customWidth="1"/>
    <col min="9214" max="9214" width="14.44140625" style="72" customWidth="1"/>
    <col min="9215" max="9215" width="15.5546875" style="72" customWidth="1"/>
    <col min="9216" max="9216" width="11.44140625" style="72" customWidth="1"/>
    <col min="9217" max="9217" width="11.5546875" style="72" customWidth="1"/>
    <col min="9218" max="9231" width="12.44140625" style="72" customWidth="1"/>
    <col min="9232" max="9232" width="12" style="72" customWidth="1"/>
    <col min="9233" max="9236" width="12.44140625" style="72" customWidth="1"/>
    <col min="9237" max="9245" width="12" style="72" customWidth="1"/>
    <col min="9246" max="9247" width="9.44140625" style="72" customWidth="1"/>
    <col min="9248" max="9462" width="9.44140625" style="72"/>
    <col min="9463" max="9463" width="2.44140625" style="72" customWidth="1"/>
    <col min="9464" max="9464" width="3.5546875" style="72" customWidth="1"/>
    <col min="9465" max="9465" width="2.5546875" style="72" customWidth="1"/>
    <col min="9466" max="9466" width="39.44140625" style="72" customWidth="1"/>
    <col min="9467" max="9467" width="5.44140625" style="72" customWidth="1"/>
    <col min="9468" max="9468" width="4" style="72" customWidth="1"/>
    <col min="9469" max="9469" width="11.44140625" style="72" customWidth="1"/>
    <col min="9470" max="9470" width="14.44140625" style="72" customWidth="1"/>
    <col min="9471" max="9471" width="15.5546875" style="72" customWidth="1"/>
    <col min="9472" max="9472" width="11.44140625" style="72" customWidth="1"/>
    <col min="9473" max="9473" width="11.5546875" style="72" customWidth="1"/>
    <col min="9474" max="9487" width="12.44140625" style="72" customWidth="1"/>
    <col min="9488" max="9488" width="12" style="72" customWidth="1"/>
    <col min="9489" max="9492" width="12.44140625" style="72" customWidth="1"/>
    <col min="9493" max="9501" width="12" style="72" customWidth="1"/>
    <col min="9502" max="9503" width="9.44140625" style="72" customWidth="1"/>
    <col min="9504" max="9718" width="9.44140625" style="72"/>
    <col min="9719" max="9719" width="2.44140625" style="72" customWidth="1"/>
    <col min="9720" max="9720" width="3.5546875" style="72" customWidth="1"/>
    <col min="9721" max="9721" width="2.5546875" style="72" customWidth="1"/>
    <col min="9722" max="9722" width="39.44140625" style="72" customWidth="1"/>
    <col min="9723" max="9723" width="5.44140625" style="72" customWidth="1"/>
    <col min="9724" max="9724" width="4" style="72" customWidth="1"/>
    <col min="9725" max="9725" width="11.44140625" style="72" customWidth="1"/>
    <col min="9726" max="9726" width="14.44140625" style="72" customWidth="1"/>
    <col min="9727" max="9727" width="15.5546875" style="72" customWidth="1"/>
    <col min="9728" max="9728" width="11.44140625" style="72" customWidth="1"/>
    <col min="9729" max="9729" width="11.5546875" style="72" customWidth="1"/>
    <col min="9730" max="9743" width="12.44140625" style="72" customWidth="1"/>
    <col min="9744" max="9744" width="12" style="72" customWidth="1"/>
    <col min="9745" max="9748" width="12.44140625" style="72" customWidth="1"/>
    <col min="9749" max="9757" width="12" style="72" customWidth="1"/>
    <col min="9758" max="9759" width="9.44140625" style="72" customWidth="1"/>
    <col min="9760" max="9974" width="9.44140625" style="72"/>
    <col min="9975" max="9975" width="2.44140625" style="72" customWidth="1"/>
    <col min="9976" max="9976" width="3.5546875" style="72" customWidth="1"/>
    <col min="9977" max="9977" width="2.5546875" style="72" customWidth="1"/>
    <col min="9978" max="9978" width="39.44140625" style="72" customWidth="1"/>
    <col min="9979" max="9979" width="5.44140625" style="72" customWidth="1"/>
    <col min="9980" max="9980" width="4" style="72" customWidth="1"/>
    <col min="9981" max="9981" width="11.44140625" style="72" customWidth="1"/>
    <col min="9982" max="9982" width="14.44140625" style="72" customWidth="1"/>
    <col min="9983" max="9983" width="15.5546875" style="72" customWidth="1"/>
    <col min="9984" max="9984" width="11.44140625" style="72" customWidth="1"/>
    <col min="9985" max="9985" width="11.5546875" style="72" customWidth="1"/>
    <col min="9986" max="9999" width="12.44140625" style="72" customWidth="1"/>
    <col min="10000" max="10000" width="12" style="72" customWidth="1"/>
    <col min="10001" max="10004" width="12.44140625" style="72" customWidth="1"/>
    <col min="10005" max="10013" width="12" style="72" customWidth="1"/>
    <col min="10014" max="10015" width="9.44140625" style="72" customWidth="1"/>
    <col min="10016" max="10230" width="9.44140625" style="72"/>
    <col min="10231" max="10231" width="2.44140625" style="72" customWidth="1"/>
    <col min="10232" max="10232" width="3.5546875" style="72" customWidth="1"/>
    <col min="10233" max="10233" width="2.5546875" style="72" customWidth="1"/>
    <col min="10234" max="10234" width="39.44140625" style="72" customWidth="1"/>
    <col min="10235" max="10235" width="5.44140625" style="72" customWidth="1"/>
    <col min="10236" max="10236" width="4" style="72" customWidth="1"/>
    <col min="10237" max="10237" width="11.44140625" style="72" customWidth="1"/>
    <col min="10238" max="10238" width="14.44140625" style="72" customWidth="1"/>
    <col min="10239" max="10239" width="15.5546875" style="72" customWidth="1"/>
    <col min="10240" max="10240" width="11.44140625" style="72" customWidth="1"/>
    <col min="10241" max="10241" width="11.5546875" style="72" customWidth="1"/>
    <col min="10242" max="10255" width="12.44140625" style="72" customWidth="1"/>
    <col min="10256" max="10256" width="12" style="72" customWidth="1"/>
    <col min="10257" max="10260" width="12.44140625" style="72" customWidth="1"/>
    <col min="10261" max="10269" width="12" style="72" customWidth="1"/>
    <col min="10270" max="10271" width="9.44140625" style="72" customWidth="1"/>
    <col min="10272" max="10486" width="9.44140625" style="72"/>
    <col min="10487" max="10487" width="2.44140625" style="72" customWidth="1"/>
    <col min="10488" max="10488" width="3.5546875" style="72" customWidth="1"/>
    <col min="10489" max="10489" width="2.5546875" style="72" customWidth="1"/>
    <col min="10490" max="10490" width="39.44140625" style="72" customWidth="1"/>
    <col min="10491" max="10491" width="5.44140625" style="72" customWidth="1"/>
    <col min="10492" max="10492" width="4" style="72" customWidth="1"/>
    <col min="10493" max="10493" width="11.44140625" style="72" customWidth="1"/>
    <col min="10494" max="10494" width="14.44140625" style="72" customWidth="1"/>
    <col min="10495" max="10495" width="15.5546875" style="72" customWidth="1"/>
    <col min="10496" max="10496" width="11.44140625" style="72" customWidth="1"/>
    <col min="10497" max="10497" width="11.5546875" style="72" customWidth="1"/>
    <col min="10498" max="10511" width="12.44140625" style="72" customWidth="1"/>
    <col min="10512" max="10512" width="12" style="72" customWidth="1"/>
    <col min="10513" max="10516" width="12.44140625" style="72" customWidth="1"/>
    <col min="10517" max="10525" width="12" style="72" customWidth="1"/>
    <col min="10526" max="10527" width="9.44140625" style="72" customWidth="1"/>
    <col min="10528" max="10742" width="9.44140625" style="72"/>
    <col min="10743" max="10743" width="2.44140625" style="72" customWidth="1"/>
    <col min="10744" max="10744" width="3.5546875" style="72" customWidth="1"/>
    <col min="10745" max="10745" width="2.5546875" style="72" customWidth="1"/>
    <col min="10746" max="10746" width="39.44140625" style="72" customWidth="1"/>
    <col min="10747" max="10747" width="5.44140625" style="72" customWidth="1"/>
    <col min="10748" max="10748" width="4" style="72" customWidth="1"/>
    <col min="10749" max="10749" width="11.44140625" style="72" customWidth="1"/>
    <col min="10750" max="10750" width="14.44140625" style="72" customWidth="1"/>
    <col min="10751" max="10751" width="15.5546875" style="72" customWidth="1"/>
    <col min="10752" max="10752" width="11.44140625" style="72" customWidth="1"/>
    <col min="10753" max="10753" width="11.5546875" style="72" customWidth="1"/>
    <col min="10754" max="10767" width="12.44140625" style="72" customWidth="1"/>
    <col min="10768" max="10768" width="12" style="72" customWidth="1"/>
    <col min="10769" max="10772" width="12.44140625" style="72" customWidth="1"/>
    <col min="10773" max="10781" width="12" style="72" customWidth="1"/>
    <col min="10782" max="10783" width="9.44140625" style="72" customWidth="1"/>
    <col min="10784" max="10998" width="9.44140625" style="72"/>
    <col min="10999" max="10999" width="2.44140625" style="72" customWidth="1"/>
    <col min="11000" max="11000" width="3.5546875" style="72" customWidth="1"/>
    <col min="11001" max="11001" width="2.5546875" style="72" customWidth="1"/>
    <col min="11002" max="11002" width="39.44140625" style="72" customWidth="1"/>
    <col min="11003" max="11003" width="5.44140625" style="72" customWidth="1"/>
    <col min="11004" max="11004" width="4" style="72" customWidth="1"/>
    <col min="11005" max="11005" width="11.44140625" style="72" customWidth="1"/>
    <col min="11006" max="11006" width="14.44140625" style="72" customWidth="1"/>
    <col min="11007" max="11007" width="15.5546875" style="72" customWidth="1"/>
    <col min="11008" max="11008" width="11.44140625" style="72" customWidth="1"/>
    <col min="11009" max="11009" width="11.5546875" style="72" customWidth="1"/>
    <col min="11010" max="11023" width="12.44140625" style="72" customWidth="1"/>
    <col min="11024" max="11024" width="12" style="72" customWidth="1"/>
    <col min="11025" max="11028" width="12.44140625" style="72" customWidth="1"/>
    <col min="11029" max="11037" width="12" style="72" customWidth="1"/>
    <col min="11038" max="11039" width="9.44140625" style="72" customWidth="1"/>
    <col min="11040" max="11254" width="9.44140625" style="72"/>
    <col min="11255" max="11255" width="2.44140625" style="72" customWidth="1"/>
    <col min="11256" max="11256" width="3.5546875" style="72" customWidth="1"/>
    <col min="11257" max="11257" width="2.5546875" style="72" customWidth="1"/>
    <col min="11258" max="11258" width="39.44140625" style="72" customWidth="1"/>
    <col min="11259" max="11259" width="5.44140625" style="72" customWidth="1"/>
    <col min="11260" max="11260" width="4" style="72" customWidth="1"/>
    <col min="11261" max="11261" width="11.44140625" style="72" customWidth="1"/>
    <col min="11262" max="11262" width="14.44140625" style="72" customWidth="1"/>
    <col min="11263" max="11263" width="15.5546875" style="72" customWidth="1"/>
    <col min="11264" max="11264" width="11.44140625" style="72" customWidth="1"/>
    <col min="11265" max="11265" width="11.5546875" style="72" customWidth="1"/>
    <col min="11266" max="11279" width="12.44140625" style="72" customWidth="1"/>
    <col min="11280" max="11280" width="12" style="72" customWidth="1"/>
    <col min="11281" max="11284" width="12.44140625" style="72" customWidth="1"/>
    <col min="11285" max="11293" width="12" style="72" customWidth="1"/>
    <col min="11294" max="11295" width="9.44140625" style="72" customWidth="1"/>
    <col min="11296" max="11510" width="9.44140625" style="72"/>
    <col min="11511" max="11511" width="2.44140625" style="72" customWidth="1"/>
    <col min="11512" max="11512" width="3.5546875" style="72" customWidth="1"/>
    <col min="11513" max="11513" width="2.5546875" style="72" customWidth="1"/>
    <col min="11514" max="11514" width="39.44140625" style="72" customWidth="1"/>
    <col min="11515" max="11515" width="5.44140625" style="72" customWidth="1"/>
    <col min="11516" max="11516" width="4" style="72" customWidth="1"/>
    <col min="11517" max="11517" width="11.44140625" style="72" customWidth="1"/>
    <col min="11518" max="11518" width="14.44140625" style="72" customWidth="1"/>
    <col min="11519" max="11519" width="15.5546875" style="72" customWidth="1"/>
    <col min="11520" max="11520" width="11.44140625" style="72" customWidth="1"/>
    <col min="11521" max="11521" width="11.5546875" style="72" customWidth="1"/>
    <col min="11522" max="11535" width="12.44140625" style="72" customWidth="1"/>
    <col min="11536" max="11536" width="12" style="72" customWidth="1"/>
    <col min="11537" max="11540" width="12.44140625" style="72" customWidth="1"/>
    <col min="11541" max="11549" width="12" style="72" customWidth="1"/>
    <col min="11550" max="11551" width="9.44140625" style="72" customWidth="1"/>
    <col min="11552" max="11766" width="9.44140625" style="72"/>
    <col min="11767" max="11767" width="2.44140625" style="72" customWidth="1"/>
    <col min="11768" max="11768" width="3.5546875" style="72" customWidth="1"/>
    <col min="11769" max="11769" width="2.5546875" style="72" customWidth="1"/>
    <col min="11770" max="11770" width="39.44140625" style="72" customWidth="1"/>
    <col min="11771" max="11771" width="5.44140625" style="72" customWidth="1"/>
    <col min="11772" max="11772" width="4" style="72" customWidth="1"/>
    <col min="11773" max="11773" width="11.44140625" style="72" customWidth="1"/>
    <col min="11774" max="11774" width="14.44140625" style="72" customWidth="1"/>
    <col min="11775" max="11775" width="15.5546875" style="72" customWidth="1"/>
    <col min="11776" max="11776" width="11.44140625" style="72" customWidth="1"/>
    <col min="11777" max="11777" width="11.5546875" style="72" customWidth="1"/>
    <col min="11778" max="11791" width="12.44140625" style="72" customWidth="1"/>
    <col min="11792" max="11792" width="12" style="72" customWidth="1"/>
    <col min="11793" max="11796" width="12.44140625" style="72" customWidth="1"/>
    <col min="11797" max="11805" width="12" style="72" customWidth="1"/>
    <col min="11806" max="11807" width="9.44140625" style="72" customWidth="1"/>
    <col min="11808" max="12022" width="9.44140625" style="72"/>
    <col min="12023" max="12023" width="2.44140625" style="72" customWidth="1"/>
    <col min="12024" max="12024" width="3.5546875" style="72" customWidth="1"/>
    <col min="12025" max="12025" width="2.5546875" style="72" customWidth="1"/>
    <col min="12026" max="12026" width="39.44140625" style="72" customWidth="1"/>
    <col min="12027" max="12027" width="5.44140625" style="72" customWidth="1"/>
    <col min="12028" max="12028" width="4" style="72" customWidth="1"/>
    <col min="12029" max="12029" width="11.44140625" style="72" customWidth="1"/>
    <col min="12030" max="12030" width="14.44140625" style="72" customWidth="1"/>
    <col min="12031" max="12031" width="15.5546875" style="72" customWidth="1"/>
    <col min="12032" max="12032" width="11.44140625" style="72" customWidth="1"/>
    <col min="12033" max="12033" width="11.5546875" style="72" customWidth="1"/>
    <col min="12034" max="12047" width="12.44140625" style="72" customWidth="1"/>
    <col min="12048" max="12048" width="12" style="72" customWidth="1"/>
    <col min="12049" max="12052" width="12.44140625" style="72" customWidth="1"/>
    <col min="12053" max="12061" width="12" style="72" customWidth="1"/>
    <col min="12062" max="12063" width="9.44140625" style="72" customWidth="1"/>
    <col min="12064" max="12278" width="9.44140625" style="72"/>
    <col min="12279" max="12279" width="2.44140625" style="72" customWidth="1"/>
    <col min="12280" max="12280" width="3.5546875" style="72" customWidth="1"/>
    <col min="12281" max="12281" width="2.5546875" style="72" customWidth="1"/>
    <col min="12282" max="12282" width="39.44140625" style="72" customWidth="1"/>
    <col min="12283" max="12283" width="5.44140625" style="72" customWidth="1"/>
    <col min="12284" max="12284" width="4" style="72" customWidth="1"/>
    <col min="12285" max="12285" width="11.44140625" style="72" customWidth="1"/>
    <col min="12286" max="12286" width="14.44140625" style="72" customWidth="1"/>
    <col min="12287" max="12287" width="15.5546875" style="72" customWidth="1"/>
    <col min="12288" max="12288" width="11.44140625" style="72" customWidth="1"/>
    <col min="12289" max="12289" width="11.5546875" style="72" customWidth="1"/>
    <col min="12290" max="12303" width="12.44140625" style="72" customWidth="1"/>
    <col min="12304" max="12304" width="12" style="72" customWidth="1"/>
    <col min="12305" max="12308" width="12.44140625" style="72" customWidth="1"/>
    <col min="12309" max="12317" width="12" style="72" customWidth="1"/>
    <col min="12318" max="12319" width="9.44140625" style="72" customWidth="1"/>
    <col min="12320" max="12534" width="9.44140625" style="72"/>
    <col min="12535" max="12535" width="2.44140625" style="72" customWidth="1"/>
    <col min="12536" max="12536" width="3.5546875" style="72" customWidth="1"/>
    <col min="12537" max="12537" width="2.5546875" style="72" customWidth="1"/>
    <col min="12538" max="12538" width="39.44140625" style="72" customWidth="1"/>
    <col min="12539" max="12539" width="5.44140625" style="72" customWidth="1"/>
    <col min="12540" max="12540" width="4" style="72" customWidth="1"/>
    <col min="12541" max="12541" width="11.44140625" style="72" customWidth="1"/>
    <col min="12542" max="12542" width="14.44140625" style="72" customWidth="1"/>
    <col min="12543" max="12543" width="15.5546875" style="72" customWidth="1"/>
    <col min="12544" max="12544" width="11.44140625" style="72" customWidth="1"/>
    <col min="12545" max="12545" width="11.5546875" style="72" customWidth="1"/>
    <col min="12546" max="12559" width="12.44140625" style="72" customWidth="1"/>
    <col min="12560" max="12560" width="12" style="72" customWidth="1"/>
    <col min="12561" max="12564" width="12.44140625" style="72" customWidth="1"/>
    <col min="12565" max="12573" width="12" style="72" customWidth="1"/>
    <col min="12574" max="12575" width="9.44140625" style="72" customWidth="1"/>
    <col min="12576" max="12790" width="9.44140625" style="72"/>
    <col min="12791" max="12791" width="2.44140625" style="72" customWidth="1"/>
    <col min="12792" max="12792" width="3.5546875" style="72" customWidth="1"/>
    <col min="12793" max="12793" width="2.5546875" style="72" customWidth="1"/>
    <col min="12794" max="12794" width="39.44140625" style="72" customWidth="1"/>
    <col min="12795" max="12795" width="5.44140625" style="72" customWidth="1"/>
    <col min="12796" max="12796" width="4" style="72" customWidth="1"/>
    <col min="12797" max="12797" width="11.44140625" style="72" customWidth="1"/>
    <col min="12798" max="12798" width="14.44140625" style="72" customWidth="1"/>
    <col min="12799" max="12799" width="15.5546875" style="72" customWidth="1"/>
    <col min="12800" max="12800" width="11.44140625" style="72" customWidth="1"/>
    <col min="12801" max="12801" width="11.5546875" style="72" customWidth="1"/>
    <col min="12802" max="12815" width="12.44140625" style="72" customWidth="1"/>
    <col min="12816" max="12816" width="12" style="72" customWidth="1"/>
    <col min="12817" max="12820" width="12.44140625" style="72" customWidth="1"/>
    <col min="12821" max="12829" width="12" style="72" customWidth="1"/>
    <col min="12830" max="12831" width="9.44140625" style="72" customWidth="1"/>
    <col min="12832" max="13046" width="9.44140625" style="72"/>
    <col min="13047" max="13047" width="2.44140625" style="72" customWidth="1"/>
    <col min="13048" max="13048" width="3.5546875" style="72" customWidth="1"/>
    <col min="13049" max="13049" width="2.5546875" style="72" customWidth="1"/>
    <col min="13050" max="13050" width="39.44140625" style="72" customWidth="1"/>
    <col min="13051" max="13051" width="5.44140625" style="72" customWidth="1"/>
    <col min="13052" max="13052" width="4" style="72" customWidth="1"/>
    <col min="13053" max="13053" width="11.44140625" style="72" customWidth="1"/>
    <col min="13054" max="13054" width="14.44140625" style="72" customWidth="1"/>
    <col min="13055" max="13055" width="15.5546875" style="72" customWidth="1"/>
    <col min="13056" max="13056" width="11.44140625" style="72" customWidth="1"/>
    <col min="13057" max="13057" width="11.5546875" style="72" customWidth="1"/>
    <col min="13058" max="13071" width="12.44140625" style="72" customWidth="1"/>
    <col min="13072" max="13072" width="12" style="72" customWidth="1"/>
    <col min="13073" max="13076" width="12.44140625" style="72" customWidth="1"/>
    <col min="13077" max="13085" width="12" style="72" customWidth="1"/>
    <col min="13086" max="13087" width="9.44140625" style="72" customWidth="1"/>
    <col min="13088" max="13302" width="9.44140625" style="72"/>
    <col min="13303" max="13303" width="2.44140625" style="72" customWidth="1"/>
    <col min="13304" max="13304" width="3.5546875" style="72" customWidth="1"/>
    <col min="13305" max="13305" width="2.5546875" style="72" customWidth="1"/>
    <col min="13306" max="13306" width="39.44140625" style="72" customWidth="1"/>
    <col min="13307" max="13307" width="5.44140625" style="72" customWidth="1"/>
    <col min="13308" max="13308" width="4" style="72" customWidth="1"/>
    <col min="13309" max="13309" width="11.44140625" style="72" customWidth="1"/>
    <col min="13310" max="13310" width="14.44140625" style="72" customWidth="1"/>
    <col min="13311" max="13311" width="15.5546875" style="72" customWidth="1"/>
    <col min="13312" max="13312" width="11.44140625" style="72" customWidth="1"/>
    <col min="13313" max="13313" width="11.5546875" style="72" customWidth="1"/>
    <col min="13314" max="13327" width="12.44140625" style="72" customWidth="1"/>
    <col min="13328" max="13328" width="12" style="72" customWidth="1"/>
    <col min="13329" max="13332" width="12.44140625" style="72" customWidth="1"/>
    <col min="13333" max="13341" width="12" style="72" customWidth="1"/>
    <col min="13342" max="13343" width="9.44140625" style="72" customWidth="1"/>
    <col min="13344" max="13558" width="9.44140625" style="72"/>
    <col min="13559" max="13559" width="2.44140625" style="72" customWidth="1"/>
    <col min="13560" max="13560" width="3.5546875" style="72" customWidth="1"/>
    <col min="13561" max="13561" width="2.5546875" style="72" customWidth="1"/>
    <col min="13562" max="13562" width="39.44140625" style="72" customWidth="1"/>
    <col min="13563" max="13563" width="5.44140625" style="72" customWidth="1"/>
    <col min="13564" max="13564" width="4" style="72" customWidth="1"/>
    <col min="13565" max="13565" width="11.44140625" style="72" customWidth="1"/>
    <col min="13566" max="13566" width="14.44140625" style="72" customWidth="1"/>
    <col min="13567" max="13567" width="15.5546875" style="72" customWidth="1"/>
    <col min="13568" max="13568" width="11.44140625" style="72" customWidth="1"/>
    <col min="13569" max="13569" width="11.5546875" style="72" customWidth="1"/>
    <col min="13570" max="13583" width="12.44140625" style="72" customWidth="1"/>
    <col min="13584" max="13584" width="12" style="72" customWidth="1"/>
    <col min="13585" max="13588" width="12.44140625" style="72" customWidth="1"/>
    <col min="13589" max="13597" width="12" style="72" customWidth="1"/>
    <col min="13598" max="13599" width="9.44140625" style="72" customWidth="1"/>
    <col min="13600" max="13814" width="9.44140625" style="72"/>
    <col min="13815" max="13815" width="2.44140625" style="72" customWidth="1"/>
    <col min="13816" max="13816" width="3.5546875" style="72" customWidth="1"/>
    <col min="13817" max="13817" width="2.5546875" style="72" customWidth="1"/>
    <col min="13818" max="13818" width="39.44140625" style="72" customWidth="1"/>
    <col min="13819" max="13819" width="5.44140625" style="72" customWidth="1"/>
    <col min="13820" max="13820" width="4" style="72" customWidth="1"/>
    <col min="13821" max="13821" width="11.44140625" style="72" customWidth="1"/>
    <col min="13822" max="13822" width="14.44140625" style="72" customWidth="1"/>
    <col min="13823" max="13823" width="15.5546875" style="72" customWidth="1"/>
    <col min="13824" max="13824" width="11.44140625" style="72" customWidth="1"/>
    <col min="13825" max="13825" width="11.5546875" style="72" customWidth="1"/>
    <col min="13826" max="13839" width="12.44140625" style="72" customWidth="1"/>
    <col min="13840" max="13840" width="12" style="72" customWidth="1"/>
    <col min="13841" max="13844" width="12.44140625" style="72" customWidth="1"/>
    <col min="13845" max="13853" width="12" style="72" customWidth="1"/>
    <col min="13854" max="13855" width="9.44140625" style="72" customWidth="1"/>
    <col min="13856" max="14070" width="9.44140625" style="72"/>
    <col min="14071" max="14071" width="2.44140625" style="72" customWidth="1"/>
    <col min="14072" max="14072" width="3.5546875" style="72" customWidth="1"/>
    <col min="14073" max="14073" width="2.5546875" style="72" customWidth="1"/>
    <col min="14074" max="14074" width="39.44140625" style="72" customWidth="1"/>
    <col min="14075" max="14075" width="5.44140625" style="72" customWidth="1"/>
    <col min="14076" max="14076" width="4" style="72" customWidth="1"/>
    <col min="14077" max="14077" width="11.44140625" style="72" customWidth="1"/>
    <col min="14078" max="14078" width="14.44140625" style="72" customWidth="1"/>
    <col min="14079" max="14079" width="15.5546875" style="72" customWidth="1"/>
    <col min="14080" max="14080" width="11.44140625" style="72" customWidth="1"/>
    <col min="14081" max="14081" width="11.5546875" style="72" customWidth="1"/>
    <col min="14082" max="14095" width="12.44140625" style="72" customWidth="1"/>
    <col min="14096" max="14096" width="12" style="72" customWidth="1"/>
    <col min="14097" max="14100" width="12.44140625" style="72" customWidth="1"/>
    <col min="14101" max="14109" width="12" style="72" customWidth="1"/>
    <col min="14110" max="14111" width="9.44140625" style="72" customWidth="1"/>
    <col min="14112" max="14326" width="9.44140625" style="72"/>
    <col min="14327" max="14327" width="2.44140625" style="72" customWidth="1"/>
    <col min="14328" max="14328" width="3.5546875" style="72" customWidth="1"/>
    <col min="14329" max="14329" width="2.5546875" style="72" customWidth="1"/>
    <col min="14330" max="14330" width="39.44140625" style="72" customWidth="1"/>
    <col min="14331" max="14331" width="5.44140625" style="72" customWidth="1"/>
    <col min="14332" max="14332" width="4" style="72" customWidth="1"/>
    <col min="14333" max="14333" width="11.44140625" style="72" customWidth="1"/>
    <col min="14334" max="14334" width="14.44140625" style="72" customWidth="1"/>
    <col min="14335" max="14335" width="15.5546875" style="72" customWidth="1"/>
    <col min="14336" max="14336" width="11.44140625" style="72" customWidth="1"/>
    <col min="14337" max="14337" width="11.5546875" style="72" customWidth="1"/>
    <col min="14338" max="14351" width="12.44140625" style="72" customWidth="1"/>
    <col min="14352" max="14352" width="12" style="72" customWidth="1"/>
    <col min="14353" max="14356" width="12.44140625" style="72" customWidth="1"/>
    <col min="14357" max="14365" width="12" style="72" customWidth="1"/>
    <col min="14366" max="14367" width="9.44140625" style="72" customWidth="1"/>
    <col min="14368" max="14582" width="9.44140625" style="72"/>
    <col min="14583" max="14583" width="2.44140625" style="72" customWidth="1"/>
    <col min="14584" max="14584" width="3.5546875" style="72" customWidth="1"/>
    <col min="14585" max="14585" width="2.5546875" style="72" customWidth="1"/>
    <col min="14586" max="14586" width="39.44140625" style="72" customWidth="1"/>
    <col min="14587" max="14587" width="5.44140625" style="72" customWidth="1"/>
    <col min="14588" max="14588" width="4" style="72" customWidth="1"/>
    <col min="14589" max="14589" width="11.44140625" style="72" customWidth="1"/>
    <col min="14590" max="14590" width="14.44140625" style="72" customWidth="1"/>
    <col min="14591" max="14591" width="15.5546875" style="72" customWidth="1"/>
    <col min="14592" max="14592" width="11.44140625" style="72" customWidth="1"/>
    <col min="14593" max="14593" width="11.5546875" style="72" customWidth="1"/>
    <col min="14594" max="14607" width="12.44140625" style="72" customWidth="1"/>
    <col min="14608" max="14608" width="12" style="72" customWidth="1"/>
    <col min="14609" max="14612" width="12.44140625" style="72" customWidth="1"/>
    <col min="14613" max="14621" width="12" style="72" customWidth="1"/>
    <col min="14622" max="14623" width="9.44140625" style="72" customWidth="1"/>
    <col min="14624" max="14838" width="9.44140625" style="72"/>
    <col min="14839" max="14839" width="2.44140625" style="72" customWidth="1"/>
    <col min="14840" max="14840" width="3.5546875" style="72" customWidth="1"/>
    <col min="14841" max="14841" width="2.5546875" style="72" customWidth="1"/>
    <col min="14842" max="14842" width="39.44140625" style="72" customWidth="1"/>
    <col min="14843" max="14843" width="5.44140625" style="72" customWidth="1"/>
    <col min="14844" max="14844" width="4" style="72" customWidth="1"/>
    <col min="14845" max="14845" width="11.44140625" style="72" customWidth="1"/>
    <col min="14846" max="14846" width="14.44140625" style="72" customWidth="1"/>
    <col min="14847" max="14847" width="15.5546875" style="72" customWidth="1"/>
    <col min="14848" max="14848" width="11.44140625" style="72" customWidth="1"/>
    <col min="14849" max="14849" width="11.5546875" style="72" customWidth="1"/>
    <col min="14850" max="14863" width="12.44140625" style="72" customWidth="1"/>
    <col min="14864" max="14864" width="12" style="72" customWidth="1"/>
    <col min="14865" max="14868" width="12.44140625" style="72" customWidth="1"/>
    <col min="14869" max="14877" width="12" style="72" customWidth="1"/>
    <col min="14878" max="14879" width="9.44140625" style="72" customWidth="1"/>
    <col min="14880" max="15094" width="9.44140625" style="72"/>
    <col min="15095" max="15095" width="2.44140625" style="72" customWidth="1"/>
    <col min="15096" max="15096" width="3.5546875" style="72" customWidth="1"/>
    <col min="15097" max="15097" width="2.5546875" style="72" customWidth="1"/>
    <col min="15098" max="15098" width="39.44140625" style="72" customWidth="1"/>
    <col min="15099" max="15099" width="5.44140625" style="72" customWidth="1"/>
    <col min="15100" max="15100" width="4" style="72" customWidth="1"/>
    <col min="15101" max="15101" width="11.44140625" style="72" customWidth="1"/>
    <col min="15102" max="15102" width="14.44140625" style="72" customWidth="1"/>
    <col min="15103" max="15103" width="15.5546875" style="72" customWidth="1"/>
    <col min="15104" max="15104" width="11.44140625" style="72" customWidth="1"/>
    <col min="15105" max="15105" width="11.5546875" style="72" customWidth="1"/>
    <col min="15106" max="15119" width="12.44140625" style="72" customWidth="1"/>
    <col min="15120" max="15120" width="12" style="72" customWidth="1"/>
    <col min="15121" max="15124" width="12.44140625" style="72" customWidth="1"/>
    <col min="15125" max="15133" width="12" style="72" customWidth="1"/>
    <col min="15134" max="15135" width="9.44140625" style="72" customWidth="1"/>
    <col min="15136" max="15350" width="9.44140625" style="72"/>
    <col min="15351" max="15351" width="2.44140625" style="72" customWidth="1"/>
    <col min="15352" max="15352" width="3.5546875" style="72" customWidth="1"/>
    <col min="15353" max="15353" width="2.5546875" style="72" customWidth="1"/>
    <col min="15354" max="15354" width="39.44140625" style="72" customWidth="1"/>
    <col min="15355" max="15355" width="5.44140625" style="72" customWidth="1"/>
    <col min="15356" max="15356" width="4" style="72" customWidth="1"/>
    <col min="15357" max="15357" width="11.44140625" style="72" customWidth="1"/>
    <col min="15358" max="15358" width="14.44140625" style="72" customWidth="1"/>
    <col min="15359" max="15359" width="15.5546875" style="72" customWidth="1"/>
    <col min="15360" max="15360" width="11.44140625" style="72" customWidth="1"/>
    <col min="15361" max="15361" width="11.5546875" style="72" customWidth="1"/>
    <col min="15362" max="15375" width="12.44140625" style="72" customWidth="1"/>
    <col min="15376" max="15376" width="12" style="72" customWidth="1"/>
    <col min="15377" max="15380" width="12.44140625" style="72" customWidth="1"/>
    <col min="15381" max="15389" width="12" style="72" customWidth="1"/>
    <col min="15390" max="15391" width="9.44140625" style="72" customWidth="1"/>
    <col min="15392" max="15606" width="9.44140625" style="72"/>
    <col min="15607" max="15607" width="2.44140625" style="72" customWidth="1"/>
    <col min="15608" max="15608" width="3.5546875" style="72" customWidth="1"/>
    <col min="15609" max="15609" width="2.5546875" style="72" customWidth="1"/>
    <col min="15610" max="15610" width="39.44140625" style="72" customWidth="1"/>
    <col min="15611" max="15611" width="5.44140625" style="72" customWidth="1"/>
    <col min="15612" max="15612" width="4" style="72" customWidth="1"/>
    <col min="15613" max="15613" width="11.44140625" style="72" customWidth="1"/>
    <col min="15614" max="15614" width="14.44140625" style="72" customWidth="1"/>
    <col min="15615" max="15615" width="15.5546875" style="72" customWidth="1"/>
    <col min="15616" max="15616" width="11.44140625" style="72" customWidth="1"/>
    <col min="15617" max="15617" width="11.5546875" style="72" customWidth="1"/>
    <col min="15618" max="15631" width="12.44140625" style="72" customWidth="1"/>
    <col min="15632" max="15632" width="12" style="72" customWidth="1"/>
    <col min="15633" max="15636" width="12.44140625" style="72" customWidth="1"/>
    <col min="15637" max="15645" width="12" style="72" customWidth="1"/>
    <col min="15646" max="15647" width="9.44140625" style="72" customWidth="1"/>
    <col min="15648" max="15862" width="9.44140625" style="72"/>
    <col min="15863" max="15863" width="2.44140625" style="72" customWidth="1"/>
    <col min="15864" max="15864" width="3.5546875" style="72" customWidth="1"/>
    <col min="15865" max="15865" width="2.5546875" style="72" customWidth="1"/>
    <col min="15866" max="15866" width="39.44140625" style="72" customWidth="1"/>
    <col min="15867" max="15867" width="5.44140625" style="72" customWidth="1"/>
    <col min="15868" max="15868" width="4" style="72" customWidth="1"/>
    <col min="15869" max="15869" width="11.44140625" style="72" customWidth="1"/>
    <col min="15870" max="15870" width="14.44140625" style="72" customWidth="1"/>
    <col min="15871" max="15871" width="15.5546875" style="72" customWidth="1"/>
    <col min="15872" max="15872" width="11.44140625" style="72" customWidth="1"/>
    <col min="15873" max="15873" width="11.5546875" style="72" customWidth="1"/>
    <col min="15874" max="15887" width="12.44140625" style="72" customWidth="1"/>
    <col min="15888" max="15888" width="12" style="72" customWidth="1"/>
    <col min="15889" max="15892" width="12.44140625" style="72" customWidth="1"/>
    <col min="15893" max="15901" width="12" style="72" customWidth="1"/>
    <col min="15902" max="15903" width="9.44140625" style="72" customWidth="1"/>
    <col min="15904" max="16118" width="9.44140625" style="72"/>
    <col min="16119" max="16119" width="2.44140625" style="72" customWidth="1"/>
    <col min="16120" max="16120" width="3.5546875" style="72" customWidth="1"/>
    <col min="16121" max="16121" width="2.5546875" style="72" customWidth="1"/>
    <col min="16122" max="16122" width="39.44140625" style="72" customWidth="1"/>
    <col min="16123" max="16123" width="5.44140625" style="72" customWidth="1"/>
    <col min="16124" max="16124" width="4" style="72" customWidth="1"/>
    <col min="16125" max="16125" width="11.44140625" style="72" customWidth="1"/>
    <col min="16126" max="16126" width="14.44140625" style="72" customWidth="1"/>
    <col min="16127" max="16127" width="15.5546875" style="72" customWidth="1"/>
    <col min="16128" max="16128" width="11.44140625" style="72" customWidth="1"/>
    <col min="16129" max="16129" width="11.5546875" style="72" customWidth="1"/>
    <col min="16130" max="16143" width="12.44140625" style="72" customWidth="1"/>
    <col min="16144" max="16144" width="12" style="72" customWidth="1"/>
    <col min="16145" max="16148" width="12.44140625" style="72" customWidth="1"/>
    <col min="16149" max="16157" width="12" style="72" customWidth="1"/>
    <col min="16158" max="16159" width="9.44140625" style="72" customWidth="1"/>
    <col min="16160" max="16384" width="9.44140625" style="72"/>
  </cols>
  <sheetData>
    <row r="1" spans="1:34" ht="16.8" x14ac:dyDescent="0.3">
      <c r="A1" s="955" t="s">
        <v>658</v>
      </c>
      <c r="B1" s="955"/>
      <c r="C1" s="955"/>
      <c r="D1" s="955"/>
      <c r="E1" s="955"/>
      <c r="F1" s="955"/>
      <c r="G1" s="955"/>
      <c r="H1" s="955"/>
      <c r="I1" s="955"/>
      <c r="J1" s="955"/>
      <c r="K1" s="955"/>
      <c r="L1" s="955"/>
      <c r="M1" s="955"/>
      <c r="N1" s="955"/>
      <c r="O1" s="955"/>
      <c r="P1" s="955"/>
      <c r="Q1" s="955"/>
      <c r="R1" s="955"/>
      <c r="S1" s="955"/>
      <c r="T1" s="955"/>
      <c r="U1" s="955"/>
      <c r="V1" s="955"/>
      <c r="W1" s="955"/>
      <c r="X1" s="955"/>
      <c r="Y1" s="955"/>
      <c r="Z1" s="955"/>
      <c r="AA1" s="955"/>
      <c r="AB1" s="955"/>
      <c r="AC1" s="955"/>
      <c r="AD1" s="955"/>
      <c r="AE1" s="955"/>
      <c r="AF1" s="955"/>
      <c r="AG1" s="955"/>
      <c r="AH1" s="955"/>
    </row>
    <row r="2" spans="1:34" ht="15.6" x14ac:dyDescent="0.3">
      <c r="A2" s="70" t="str">
        <f>'Fin Inputs'!$A$2</f>
        <v>Storage Financial Analysis Model</v>
      </c>
      <c r="B2" s="71"/>
      <c r="D2" s="73"/>
      <c r="J2" s="123">
        <v>1</v>
      </c>
      <c r="K2" s="123">
        <f t="shared" ref="K2:AC2" si="0">J2+1</f>
        <v>2</v>
      </c>
      <c r="L2" s="123">
        <f t="shared" si="0"/>
        <v>3</v>
      </c>
      <c r="M2" s="123">
        <f t="shared" si="0"/>
        <v>4</v>
      </c>
      <c r="N2" s="123">
        <f t="shared" si="0"/>
        <v>5</v>
      </c>
      <c r="O2" s="123">
        <f t="shared" si="0"/>
        <v>6</v>
      </c>
      <c r="P2" s="123">
        <f t="shared" si="0"/>
        <v>7</v>
      </c>
      <c r="Q2" s="123">
        <f t="shared" si="0"/>
        <v>8</v>
      </c>
      <c r="R2" s="123">
        <f t="shared" si="0"/>
        <v>9</v>
      </c>
      <c r="S2" s="123">
        <f t="shared" si="0"/>
        <v>10</v>
      </c>
      <c r="T2" s="123">
        <f t="shared" si="0"/>
        <v>11</v>
      </c>
      <c r="U2" s="123">
        <f t="shared" si="0"/>
        <v>12</v>
      </c>
      <c r="V2" s="123">
        <f t="shared" si="0"/>
        <v>13</v>
      </c>
      <c r="W2" s="123">
        <f t="shared" si="0"/>
        <v>14</v>
      </c>
      <c r="X2" s="123">
        <f t="shared" si="0"/>
        <v>15</v>
      </c>
      <c r="Y2" s="123">
        <f t="shared" si="0"/>
        <v>16</v>
      </c>
      <c r="Z2" s="123">
        <f t="shared" si="0"/>
        <v>17</v>
      </c>
      <c r="AA2" s="123">
        <f t="shared" si="0"/>
        <v>18</v>
      </c>
      <c r="AB2" s="123">
        <f t="shared" si="0"/>
        <v>19</v>
      </c>
      <c r="AC2" s="123">
        <f t="shared" si="0"/>
        <v>20</v>
      </c>
      <c r="AD2" s="123">
        <f>AC2+1</f>
        <v>21</v>
      </c>
      <c r="AE2" s="123">
        <f>AD2+1</f>
        <v>22</v>
      </c>
      <c r="AF2" s="123">
        <f>AE2+1</f>
        <v>23</v>
      </c>
      <c r="AG2" s="123">
        <f>AF2+1</f>
        <v>24</v>
      </c>
      <c r="AH2" s="123">
        <f>AG2+1</f>
        <v>25</v>
      </c>
    </row>
    <row r="3" spans="1:34" x14ac:dyDescent="0.3">
      <c r="A3" s="74"/>
      <c r="B3" s="71"/>
      <c r="C3" s="74"/>
      <c r="D3" s="73"/>
      <c r="J3" s="887"/>
      <c r="K3" s="887"/>
      <c r="L3" s="887"/>
      <c r="M3" s="887"/>
      <c r="N3" s="887"/>
      <c r="O3" s="887"/>
      <c r="P3" s="887"/>
      <c r="Q3" s="887"/>
      <c r="R3" s="887"/>
      <c r="S3" s="887"/>
      <c r="T3" s="887"/>
      <c r="U3" s="887"/>
      <c r="V3" s="887"/>
      <c r="W3" s="887"/>
      <c r="X3" s="887"/>
      <c r="Y3" s="887"/>
      <c r="Z3" s="887"/>
      <c r="AA3" s="887"/>
      <c r="AB3" s="887"/>
      <c r="AC3" s="887"/>
      <c r="AD3" s="887"/>
      <c r="AE3" s="887"/>
      <c r="AF3" s="887"/>
      <c r="AG3" s="887"/>
      <c r="AH3" s="887"/>
    </row>
    <row r="4" spans="1:34" x14ac:dyDescent="0.3">
      <c r="A4" s="77" t="str">
        <f>'Fin Inputs'!$A$4</f>
        <v>all monetary amounts are in nominal USD</v>
      </c>
      <c r="B4" s="71"/>
      <c r="D4" s="73"/>
      <c r="I4" s="888"/>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row>
    <row r="5" spans="1:34" x14ac:dyDescent="0.3">
      <c r="D5" s="73"/>
      <c r="I5" s="889"/>
      <c r="J5" s="78"/>
      <c r="K5" s="78"/>
      <c r="L5" s="78"/>
      <c r="M5" s="78"/>
      <c r="N5" s="78"/>
      <c r="O5" s="78"/>
      <c r="P5" s="78"/>
      <c r="Q5" s="78"/>
      <c r="R5" s="78"/>
      <c r="S5" s="78"/>
      <c r="T5" s="78"/>
      <c r="U5" s="78"/>
      <c r="V5" s="78"/>
      <c r="W5" s="78"/>
      <c r="X5" s="78"/>
      <c r="Y5" s="78"/>
      <c r="Z5" s="78"/>
      <c r="AA5" s="78"/>
      <c r="AB5" s="78"/>
      <c r="AC5" s="78"/>
      <c r="AD5" s="78"/>
      <c r="AE5" s="78"/>
      <c r="AF5" s="78"/>
      <c r="AG5" s="78"/>
      <c r="AH5" s="78"/>
    </row>
    <row r="6" spans="1:34" ht="14.25" customHeight="1" thickBot="1" x14ac:dyDescent="0.35">
      <c r="B6" s="81" t="s">
        <v>392</v>
      </c>
      <c r="C6" s="890"/>
      <c r="D6" s="890"/>
      <c r="E6" s="890"/>
      <c r="F6" s="890"/>
      <c r="G6" s="891"/>
      <c r="H6" s="891"/>
      <c r="I6" s="891"/>
      <c r="J6" s="891"/>
      <c r="K6" s="891"/>
      <c r="L6" s="891"/>
      <c r="M6" s="891"/>
      <c r="N6" s="891"/>
      <c r="O6" s="891"/>
      <c r="P6" s="891"/>
      <c r="Q6" s="891"/>
      <c r="R6" s="891"/>
      <c r="S6" s="891"/>
      <c r="T6" s="891"/>
      <c r="U6" s="891"/>
      <c r="V6" s="891"/>
      <c r="W6" s="891"/>
      <c r="X6" s="891"/>
      <c r="Y6" s="891"/>
      <c r="Z6" s="891"/>
      <c r="AA6" s="891"/>
      <c r="AB6" s="891"/>
      <c r="AC6" s="891"/>
      <c r="AD6" s="891"/>
      <c r="AE6" s="891"/>
      <c r="AF6" s="891"/>
      <c r="AG6" s="891"/>
      <c r="AH6" s="891"/>
    </row>
    <row r="7" spans="1:34" ht="14.25" customHeight="1" x14ac:dyDescent="0.3">
      <c r="B7" s="892"/>
      <c r="C7" s="892"/>
      <c r="D7" s="892"/>
      <c r="E7" s="892"/>
      <c r="F7" s="892"/>
      <c r="J7" s="893"/>
      <c r="K7" s="893"/>
      <c r="L7" s="893"/>
      <c r="M7" s="893"/>
      <c r="N7" s="893"/>
      <c r="O7" s="893"/>
      <c r="P7" s="893"/>
      <c r="Q7" s="893"/>
      <c r="R7" s="893"/>
      <c r="S7" s="893"/>
      <c r="T7" s="893"/>
      <c r="U7" s="893"/>
      <c r="V7" s="893"/>
      <c r="W7" s="893"/>
      <c r="X7" s="893"/>
      <c r="Y7" s="893"/>
      <c r="Z7" s="893"/>
      <c r="AA7" s="893"/>
      <c r="AB7" s="893"/>
      <c r="AC7" s="893"/>
      <c r="AD7" s="893"/>
      <c r="AE7" s="893"/>
      <c r="AF7" s="893"/>
      <c r="AG7" s="893"/>
      <c r="AH7" s="893"/>
    </row>
    <row r="8" spans="1:34" x14ac:dyDescent="0.3">
      <c r="B8" s="71" t="s">
        <v>82</v>
      </c>
      <c r="H8" s="187"/>
      <c r="I8" s="187"/>
      <c r="J8" s="187"/>
      <c r="K8" s="187"/>
      <c r="L8" s="187"/>
      <c r="M8" s="187"/>
      <c r="N8" s="187"/>
      <c r="O8" s="187"/>
      <c r="P8" s="187"/>
      <c r="Q8" s="187"/>
      <c r="R8" s="187"/>
      <c r="S8" s="187"/>
      <c r="T8" s="187"/>
      <c r="U8" s="187"/>
      <c r="V8" s="187"/>
      <c r="W8" s="187"/>
      <c r="X8" s="187"/>
      <c r="Y8" s="187"/>
      <c r="Z8" s="187"/>
      <c r="AA8" s="187"/>
      <c r="AB8" s="187"/>
      <c r="AC8" s="187"/>
      <c r="AD8" s="187"/>
      <c r="AE8" s="187"/>
      <c r="AF8" s="187"/>
      <c r="AG8" s="187"/>
      <c r="AH8" s="187"/>
    </row>
    <row r="9" spans="1:34" x14ac:dyDescent="0.3">
      <c r="B9" s="894"/>
      <c r="C9" s="71" t="s">
        <v>393</v>
      </c>
      <c r="D9" s="71"/>
      <c r="E9" s="71"/>
      <c r="F9" s="71"/>
      <c r="G9" s="893" t="s">
        <v>394</v>
      </c>
      <c r="H9" s="893" t="s">
        <v>395</v>
      </c>
      <c r="I9" s="895" t="s">
        <v>140</v>
      </c>
    </row>
    <row r="10" spans="1:34" x14ac:dyDescent="0.3">
      <c r="C10" s="188" t="s">
        <v>386</v>
      </c>
      <c r="D10" s="72" t="s">
        <v>254</v>
      </c>
      <c r="G10" s="896">
        <f>'Fin Inputs'!AC48</f>
        <v>20</v>
      </c>
      <c r="H10" s="897">
        <f>'Fin Inputs'!M20 + 'Fin Inputs'!M23 - ('Fin Inputs'!$AC$44 * 'Fin Inputs'!AC46)</f>
        <v>11934.85</v>
      </c>
      <c r="I10" s="898">
        <f>SUM(J10:AC10)</f>
        <v>11934.850000000004</v>
      </c>
      <c r="J10" s="265">
        <f>($H10/$G10)*(J$2&lt;=$G10)</f>
        <v>596.74250000000006</v>
      </c>
      <c r="K10" s="265">
        <f t="shared" ref="K10:AD12" si="1">($H10/$G10)*(K$2&lt;=$G10)</f>
        <v>596.74250000000006</v>
      </c>
      <c r="L10" s="265">
        <f t="shared" si="1"/>
        <v>596.74250000000006</v>
      </c>
      <c r="M10" s="265">
        <f t="shared" si="1"/>
        <v>596.74250000000006</v>
      </c>
      <c r="N10" s="265">
        <f t="shared" si="1"/>
        <v>596.74250000000006</v>
      </c>
      <c r="O10" s="265">
        <f t="shared" si="1"/>
        <v>596.74250000000006</v>
      </c>
      <c r="P10" s="265">
        <f t="shared" si="1"/>
        <v>596.74250000000006</v>
      </c>
      <c r="Q10" s="265">
        <f t="shared" si="1"/>
        <v>596.74250000000006</v>
      </c>
      <c r="R10" s="265">
        <f t="shared" si="1"/>
        <v>596.74250000000006</v>
      </c>
      <c r="S10" s="265">
        <f t="shared" si="1"/>
        <v>596.74250000000006</v>
      </c>
      <c r="T10" s="265">
        <f t="shared" si="1"/>
        <v>596.74250000000006</v>
      </c>
      <c r="U10" s="265">
        <f t="shared" si="1"/>
        <v>596.74250000000006</v>
      </c>
      <c r="V10" s="265">
        <f t="shared" si="1"/>
        <v>596.74250000000006</v>
      </c>
      <c r="W10" s="265">
        <f t="shared" si="1"/>
        <v>596.74250000000006</v>
      </c>
      <c r="X10" s="265">
        <f t="shared" si="1"/>
        <v>596.74250000000006</v>
      </c>
      <c r="Y10" s="265">
        <f t="shared" si="1"/>
        <v>596.74250000000006</v>
      </c>
      <c r="Z10" s="265">
        <f t="shared" si="1"/>
        <v>596.74250000000006</v>
      </c>
      <c r="AA10" s="265">
        <f t="shared" si="1"/>
        <v>596.74250000000006</v>
      </c>
      <c r="AB10" s="265">
        <f t="shared" si="1"/>
        <v>596.74250000000006</v>
      </c>
      <c r="AC10" s="265">
        <f t="shared" si="1"/>
        <v>596.74250000000006</v>
      </c>
      <c r="AD10" s="265">
        <f t="shared" si="1"/>
        <v>0</v>
      </c>
      <c r="AE10" s="265">
        <f t="shared" ref="AD10:AH12" si="2">($H10/$G10)*(AE$2&lt;=$G10)</f>
        <v>0</v>
      </c>
      <c r="AF10" s="265">
        <f t="shared" si="2"/>
        <v>0</v>
      </c>
      <c r="AG10" s="265">
        <f t="shared" si="2"/>
        <v>0</v>
      </c>
      <c r="AH10" s="265">
        <f t="shared" si="2"/>
        <v>0</v>
      </c>
    </row>
    <row r="11" spans="1:34" x14ac:dyDescent="0.3">
      <c r="C11" s="188" t="s">
        <v>386</v>
      </c>
      <c r="D11" s="72" t="s">
        <v>255</v>
      </c>
      <c r="G11" s="896">
        <f>'Fin Inputs'!AC49</f>
        <v>5</v>
      </c>
      <c r="H11" s="897">
        <f>('Fin Inputs'!M31+'Fin Inputs'!M33+'Fin Inputs'!M35)*(1-'Fin Inputs'!AC46)</f>
        <v>0</v>
      </c>
      <c r="I11" s="898">
        <f>SUM(J11:AC11)</f>
        <v>0</v>
      </c>
      <c r="J11" s="265">
        <f t="shared" ref="J11:Y12" si="3">($H11/$G11)*(J$2&lt;=$G11)</f>
        <v>0</v>
      </c>
      <c r="K11" s="265">
        <f t="shared" si="3"/>
        <v>0</v>
      </c>
      <c r="L11" s="265">
        <f t="shared" si="3"/>
        <v>0</v>
      </c>
      <c r="M11" s="265">
        <f t="shared" si="3"/>
        <v>0</v>
      </c>
      <c r="N11" s="265">
        <f t="shared" si="3"/>
        <v>0</v>
      </c>
      <c r="O11" s="265">
        <f t="shared" si="3"/>
        <v>0</v>
      </c>
      <c r="P11" s="265">
        <f t="shared" si="3"/>
        <v>0</v>
      </c>
      <c r="Q11" s="265">
        <f t="shared" si="3"/>
        <v>0</v>
      </c>
      <c r="R11" s="265">
        <f t="shared" si="3"/>
        <v>0</v>
      </c>
      <c r="S11" s="265">
        <f t="shared" si="3"/>
        <v>0</v>
      </c>
      <c r="T11" s="265">
        <f t="shared" si="3"/>
        <v>0</v>
      </c>
      <c r="U11" s="265">
        <f t="shared" si="3"/>
        <v>0</v>
      </c>
      <c r="V11" s="265">
        <f t="shared" si="3"/>
        <v>0</v>
      </c>
      <c r="W11" s="265">
        <f t="shared" si="3"/>
        <v>0</v>
      </c>
      <c r="X11" s="265">
        <f t="shared" si="3"/>
        <v>0</v>
      </c>
      <c r="Y11" s="265">
        <f t="shared" si="3"/>
        <v>0</v>
      </c>
      <c r="Z11" s="265">
        <f t="shared" si="1"/>
        <v>0</v>
      </c>
      <c r="AA11" s="265">
        <f t="shared" si="1"/>
        <v>0</v>
      </c>
      <c r="AB11" s="265">
        <f t="shared" si="1"/>
        <v>0</v>
      </c>
      <c r="AC11" s="265">
        <f t="shared" si="1"/>
        <v>0</v>
      </c>
      <c r="AD11" s="265">
        <f t="shared" si="2"/>
        <v>0</v>
      </c>
      <c r="AE11" s="265">
        <f t="shared" si="2"/>
        <v>0</v>
      </c>
      <c r="AF11" s="265">
        <f t="shared" si="2"/>
        <v>0</v>
      </c>
      <c r="AG11" s="265">
        <f t="shared" si="2"/>
        <v>0</v>
      </c>
      <c r="AH11" s="265">
        <f t="shared" si="2"/>
        <v>0</v>
      </c>
    </row>
    <row r="12" spans="1:34" x14ac:dyDescent="0.3">
      <c r="C12" s="188" t="s">
        <v>386</v>
      </c>
      <c r="D12" s="72" t="s">
        <v>244</v>
      </c>
      <c r="G12" s="896">
        <f>'Fin Inputs'!AC50</f>
        <v>5</v>
      </c>
      <c r="H12" s="899">
        <f>'Fin Inputs'!M45*(1-'Fin Inputs'!AC46)</f>
        <v>0</v>
      </c>
      <c r="I12" s="900">
        <f>SUM(J12:AC12)</f>
        <v>0</v>
      </c>
      <c r="J12" s="265">
        <f t="shared" si="3"/>
        <v>0</v>
      </c>
      <c r="K12" s="265">
        <f t="shared" si="1"/>
        <v>0</v>
      </c>
      <c r="L12" s="265">
        <f t="shared" si="1"/>
        <v>0</v>
      </c>
      <c r="M12" s="265">
        <f t="shared" si="1"/>
        <v>0</v>
      </c>
      <c r="N12" s="265">
        <f t="shared" si="1"/>
        <v>0</v>
      </c>
      <c r="O12" s="265">
        <f t="shared" si="1"/>
        <v>0</v>
      </c>
      <c r="P12" s="265">
        <f t="shared" si="1"/>
        <v>0</v>
      </c>
      <c r="Q12" s="265">
        <f t="shared" si="1"/>
        <v>0</v>
      </c>
      <c r="R12" s="265">
        <f t="shared" si="1"/>
        <v>0</v>
      </c>
      <c r="S12" s="265">
        <f t="shared" si="1"/>
        <v>0</v>
      </c>
      <c r="T12" s="265">
        <f t="shared" si="1"/>
        <v>0</v>
      </c>
      <c r="U12" s="265">
        <f t="shared" si="1"/>
        <v>0</v>
      </c>
      <c r="V12" s="265">
        <f t="shared" si="1"/>
        <v>0</v>
      </c>
      <c r="W12" s="265">
        <f t="shared" si="1"/>
        <v>0</v>
      </c>
      <c r="X12" s="265">
        <f t="shared" si="1"/>
        <v>0</v>
      </c>
      <c r="Y12" s="265">
        <f t="shared" si="1"/>
        <v>0</v>
      </c>
      <c r="Z12" s="265">
        <f t="shared" si="1"/>
        <v>0</v>
      </c>
      <c r="AA12" s="265">
        <f t="shared" si="1"/>
        <v>0</v>
      </c>
      <c r="AB12" s="265">
        <f t="shared" si="1"/>
        <v>0</v>
      </c>
      <c r="AC12" s="265">
        <f t="shared" si="1"/>
        <v>0</v>
      </c>
      <c r="AD12" s="265">
        <f t="shared" si="2"/>
        <v>0</v>
      </c>
      <c r="AE12" s="265">
        <f t="shared" si="2"/>
        <v>0</v>
      </c>
      <c r="AF12" s="265">
        <f t="shared" si="2"/>
        <v>0</v>
      </c>
      <c r="AG12" s="265">
        <f t="shared" si="2"/>
        <v>0</v>
      </c>
      <c r="AH12" s="265">
        <f t="shared" si="2"/>
        <v>0</v>
      </c>
    </row>
    <row r="13" spans="1:34" x14ac:dyDescent="0.3">
      <c r="H13" s="187">
        <f t="shared" ref="H13:AC13" si="4">SUM(H10:H12)</f>
        <v>11934.85</v>
      </c>
      <c r="I13" s="898">
        <f t="shared" si="4"/>
        <v>11934.850000000004</v>
      </c>
      <c r="J13" s="265">
        <f t="shared" si="4"/>
        <v>596.74250000000006</v>
      </c>
      <c r="K13" s="265">
        <f t="shared" si="4"/>
        <v>596.74250000000006</v>
      </c>
      <c r="L13" s="265">
        <f t="shared" si="4"/>
        <v>596.74250000000006</v>
      </c>
      <c r="M13" s="265">
        <f t="shared" si="4"/>
        <v>596.74250000000006</v>
      </c>
      <c r="N13" s="265">
        <f t="shared" si="4"/>
        <v>596.74250000000006</v>
      </c>
      <c r="O13" s="265">
        <f t="shared" si="4"/>
        <v>596.74250000000006</v>
      </c>
      <c r="P13" s="265">
        <f t="shared" si="4"/>
        <v>596.74250000000006</v>
      </c>
      <c r="Q13" s="265">
        <f t="shared" si="4"/>
        <v>596.74250000000006</v>
      </c>
      <c r="R13" s="265">
        <f t="shared" si="4"/>
        <v>596.74250000000006</v>
      </c>
      <c r="S13" s="265">
        <f t="shared" si="4"/>
        <v>596.74250000000006</v>
      </c>
      <c r="T13" s="265">
        <f t="shared" si="4"/>
        <v>596.74250000000006</v>
      </c>
      <c r="U13" s="265">
        <f t="shared" si="4"/>
        <v>596.74250000000006</v>
      </c>
      <c r="V13" s="265">
        <f t="shared" si="4"/>
        <v>596.74250000000006</v>
      </c>
      <c r="W13" s="265">
        <f t="shared" si="4"/>
        <v>596.74250000000006</v>
      </c>
      <c r="X13" s="265">
        <f t="shared" si="4"/>
        <v>596.74250000000006</v>
      </c>
      <c r="Y13" s="265">
        <f t="shared" si="4"/>
        <v>596.74250000000006</v>
      </c>
      <c r="Z13" s="265">
        <f t="shared" si="4"/>
        <v>596.74250000000006</v>
      </c>
      <c r="AA13" s="265">
        <f t="shared" si="4"/>
        <v>596.74250000000006</v>
      </c>
      <c r="AB13" s="265">
        <f t="shared" si="4"/>
        <v>596.74250000000006</v>
      </c>
      <c r="AC13" s="265">
        <f t="shared" si="4"/>
        <v>596.74250000000006</v>
      </c>
      <c r="AD13" s="265">
        <f>SUM(AD10:AD12)</f>
        <v>0</v>
      </c>
      <c r="AE13" s="265">
        <f>SUM(AE10:AE12)</f>
        <v>0</v>
      </c>
      <c r="AF13" s="265">
        <f>SUM(AF10:AF12)</f>
        <v>0</v>
      </c>
      <c r="AG13" s="265">
        <f>SUM(AG10:AG12)</f>
        <v>0</v>
      </c>
      <c r="AH13" s="265">
        <f>SUM(AH10:AH12)</f>
        <v>0</v>
      </c>
    </row>
    <row r="14" spans="1:34" x14ac:dyDescent="0.3">
      <c r="H14" s="187"/>
      <c r="I14" s="898"/>
      <c r="J14" s="265"/>
      <c r="K14" s="265"/>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row>
    <row r="15" spans="1:34" x14ac:dyDescent="0.3">
      <c r="C15" s="72" t="s">
        <v>396</v>
      </c>
      <c r="H15" s="187"/>
      <c r="I15" s="187">
        <v>0</v>
      </c>
      <c r="J15" s="265">
        <f>(I15+J13)</f>
        <v>596.74250000000006</v>
      </c>
      <c r="K15" s="265">
        <f>(J15+K13)</f>
        <v>1193.4850000000001</v>
      </c>
      <c r="L15" s="265">
        <f t="shared" ref="L15:AC15" si="5">(K15+L13)</f>
        <v>1790.2275000000002</v>
      </c>
      <c r="M15" s="265">
        <f t="shared" si="5"/>
        <v>2386.9700000000003</v>
      </c>
      <c r="N15" s="265">
        <f t="shared" si="5"/>
        <v>2983.7125000000005</v>
      </c>
      <c r="O15" s="265">
        <f t="shared" si="5"/>
        <v>3580.4550000000008</v>
      </c>
      <c r="P15" s="265">
        <f t="shared" si="5"/>
        <v>4177.1975000000011</v>
      </c>
      <c r="Q15" s="265">
        <f t="shared" si="5"/>
        <v>4773.9400000000014</v>
      </c>
      <c r="R15" s="265">
        <f t="shared" si="5"/>
        <v>5370.6825000000017</v>
      </c>
      <c r="S15" s="265">
        <f t="shared" si="5"/>
        <v>5967.425000000002</v>
      </c>
      <c r="T15" s="265">
        <f t="shared" si="5"/>
        <v>6564.1675000000023</v>
      </c>
      <c r="U15" s="265">
        <f t="shared" si="5"/>
        <v>7160.9100000000026</v>
      </c>
      <c r="V15" s="265">
        <f t="shared" si="5"/>
        <v>7757.6525000000029</v>
      </c>
      <c r="W15" s="265">
        <f t="shared" si="5"/>
        <v>8354.3950000000023</v>
      </c>
      <c r="X15" s="265">
        <f t="shared" si="5"/>
        <v>8951.1375000000025</v>
      </c>
      <c r="Y15" s="265">
        <f t="shared" si="5"/>
        <v>9547.8800000000028</v>
      </c>
      <c r="Z15" s="265">
        <f t="shared" si="5"/>
        <v>10144.622500000003</v>
      </c>
      <c r="AA15" s="265">
        <f t="shared" si="5"/>
        <v>10741.365000000003</v>
      </c>
      <c r="AB15" s="265">
        <f t="shared" si="5"/>
        <v>11338.107500000004</v>
      </c>
      <c r="AC15" s="265">
        <f t="shared" si="5"/>
        <v>11934.850000000004</v>
      </c>
      <c r="AD15" s="265">
        <f>(AC15+AD13)</f>
        <v>11934.850000000004</v>
      </c>
      <c r="AE15" s="265">
        <f>(AD15+AE13)</f>
        <v>11934.850000000004</v>
      </c>
      <c r="AF15" s="265">
        <f>(AE15+AF13)</f>
        <v>11934.850000000004</v>
      </c>
      <c r="AG15" s="265">
        <f>(AF15+AG13)</f>
        <v>11934.850000000004</v>
      </c>
      <c r="AH15" s="265">
        <f>(AG15+AH13)</f>
        <v>11934.850000000004</v>
      </c>
    </row>
    <row r="16" spans="1:34" x14ac:dyDescent="0.3">
      <c r="C16" s="72" t="s">
        <v>80</v>
      </c>
      <c r="I16" s="72">
        <f>I10</f>
        <v>11934.850000000004</v>
      </c>
      <c r="J16" s="72">
        <f>I10-J10</f>
        <v>11338.107500000004</v>
      </c>
      <c r="K16" s="72">
        <f t="shared" ref="K16:AH16" si="6">J16-K10</f>
        <v>10741.365000000003</v>
      </c>
      <c r="L16" s="72">
        <f t="shared" si="6"/>
        <v>10144.622500000003</v>
      </c>
      <c r="M16" s="72">
        <f t="shared" si="6"/>
        <v>9547.8800000000028</v>
      </c>
      <c r="N16" s="72">
        <f t="shared" si="6"/>
        <v>8951.1375000000025</v>
      </c>
      <c r="O16" s="72">
        <f t="shared" si="6"/>
        <v>8354.3950000000023</v>
      </c>
      <c r="P16" s="72">
        <f t="shared" si="6"/>
        <v>7757.652500000002</v>
      </c>
      <c r="Q16" s="72">
        <f t="shared" si="6"/>
        <v>7160.9100000000017</v>
      </c>
      <c r="R16" s="72">
        <f t="shared" si="6"/>
        <v>6564.1675000000014</v>
      </c>
      <c r="S16" s="72">
        <f t="shared" si="6"/>
        <v>5967.4250000000011</v>
      </c>
      <c r="T16" s="72">
        <f t="shared" si="6"/>
        <v>5370.6825000000008</v>
      </c>
      <c r="U16" s="72">
        <f t="shared" si="6"/>
        <v>4773.9400000000005</v>
      </c>
      <c r="V16" s="72">
        <f t="shared" si="6"/>
        <v>4177.1975000000002</v>
      </c>
      <c r="W16" s="72">
        <f t="shared" si="6"/>
        <v>3580.4549999999999</v>
      </c>
      <c r="X16" s="72">
        <f t="shared" si="6"/>
        <v>2983.7124999999996</v>
      </c>
      <c r="Y16" s="72">
        <f t="shared" si="6"/>
        <v>2386.9699999999993</v>
      </c>
      <c r="Z16" s="72">
        <f t="shared" si="6"/>
        <v>1790.2274999999993</v>
      </c>
      <c r="AA16" s="72">
        <f t="shared" si="6"/>
        <v>1193.4849999999992</v>
      </c>
      <c r="AB16" s="72">
        <f t="shared" si="6"/>
        <v>596.74249999999915</v>
      </c>
      <c r="AC16" s="72">
        <f t="shared" si="6"/>
        <v>-9.0949470177292824E-13</v>
      </c>
      <c r="AD16" s="72">
        <f t="shared" si="6"/>
        <v>-9.0949470177292824E-13</v>
      </c>
      <c r="AE16" s="72">
        <f t="shared" si="6"/>
        <v>-9.0949470177292824E-13</v>
      </c>
      <c r="AF16" s="72">
        <f t="shared" si="6"/>
        <v>-9.0949470177292824E-13</v>
      </c>
      <c r="AG16" s="72">
        <f t="shared" si="6"/>
        <v>-9.0949470177292824E-13</v>
      </c>
      <c r="AH16" s="72">
        <f t="shared" si="6"/>
        <v>-9.0949470177292824E-13</v>
      </c>
    </row>
    <row r="17" spans="1:49" x14ac:dyDescent="0.3">
      <c r="B17" s="892" t="s">
        <v>397</v>
      </c>
      <c r="C17" s="892"/>
      <c r="D17" s="892"/>
      <c r="E17" s="892"/>
      <c r="F17" s="892"/>
    </row>
    <row r="18" spans="1:49" s="893" customFormat="1" x14ac:dyDescent="0.3">
      <c r="B18" s="894"/>
      <c r="C18" s="901" t="s">
        <v>393</v>
      </c>
      <c r="G18" s="893" t="s">
        <v>394</v>
      </c>
      <c r="H18" s="893" t="s">
        <v>395</v>
      </c>
      <c r="I18" s="895" t="s">
        <v>140</v>
      </c>
      <c r="J18" s="902">
        <f>VLOOKUP($G$19,$H$85:$AG$90,J2+1,FALSE)</f>
        <v>0.1429</v>
      </c>
      <c r="K18" s="902">
        <f t="shared" ref="K18:AH18" si="7">VLOOKUP($G$19,$H$85:$AG$90,K2+1,FALSE)</f>
        <v>0.24490000000000001</v>
      </c>
      <c r="L18" s="902">
        <f t="shared" si="7"/>
        <v>0.1749</v>
      </c>
      <c r="M18" s="902">
        <f t="shared" si="7"/>
        <v>0.1249</v>
      </c>
      <c r="N18" s="902">
        <f t="shared" si="7"/>
        <v>8.9300000000000004E-2</v>
      </c>
      <c r="O18" s="902">
        <f t="shared" si="7"/>
        <v>8.9200000000000002E-2</v>
      </c>
      <c r="P18" s="902">
        <f t="shared" si="7"/>
        <v>8.9300000000000004E-2</v>
      </c>
      <c r="Q18" s="902">
        <f t="shared" si="7"/>
        <v>4.4600000000000001E-2</v>
      </c>
      <c r="R18" s="902">
        <f t="shared" si="7"/>
        <v>0</v>
      </c>
      <c r="S18" s="902">
        <f t="shared" si="7"/>
        <v>0</v>
      </c>
      <c r="T18" s="902">
        <f t="shared" si="7"/>
        <v>0</v>
      </c>
      <c r="U18" s="902">
        <f t="shared" si="7"/>
        <v>0</v>
      </c>
      <c r="V18" s="902">
        <f t="shared" si="7"/>
        <v>0</v>
      </c>
      <c r="W18" s="902">
        <f t="shared" si="7"/>
        <v>0</v>
      </c>
      <c r="X18" s="902">
        <f t="shared" si="7"/>
        <v>0</v>
      </c>
      <c r="Y18" s="902">
        <f t="shared" si="7"/>
        <v>0</v>
      </c>
      <c r="Z18" s="902">
        <f t="shared" si="7"/>
        <v>0</v>
      </c>
      <c r="AA18" s="902">
        <f t="shared" si="7"/>
        <v>0</v>
      </c>
      <c r="AB18" s="902">
        <f t="shared" si="7"/>
        <v>0</v>
      </c>
      <c r="AC18" s="902">
        <f t="shared" si="7"/>
        <v>0</v>
      </c>
      <c r="AD18" s="902">
        <f t="shared" si="7"/>
        <v>0</v>
      </c>
      <c r="AE18" s="902">
        <f t="shared" si="7"/>
        <v>0</v>
      </c>
      <c r="AF18" s="902">
        <f t="shared" si="7"/>
        <v>0</v>
      </c>
      <c r="AG18" s="902">
        <f t="shared" si="7"/>
        <v>0</v>
      </c>
      <c r="AH18" s="902">
        <f t="shared" si="7"/>
        <v>0</v>
      </c>
    </row>
    <row r="19" spans="1:49" x14ac:dyDescent="0.3">
      <c r="C19" s="188" t="s">
        <v>386</v>
      </c>
      <c r="D19" s="72" t="str">
        <f>D10</f>
        <v>PP&amp;E</v>
      </c>
      <c r="G19" s="896">
        <f>'Fin Inputs'!AC52</f>
        <v>7</v>
      </c>
      <c r="H19" s="897">
        <f>H10</f>
        <v>11934.85</v>
      </c>
      <c r="I19" s="898">
        <f>SUM(J19:AC19)</f>
        <v>11934.849999999999</v>
      </c>
      <c r="J19" s="903">
        <f>$H$19*J18</f>
        <v>1705.490065</v>
      </c>
      <c r="K19" s="903">
        <f t="shared" ref="K19:AC19" si="8">$H$19*K18</f>
        <v>2922.8447650000003</v>
      </c>
      <c r="L19" s="903">
        <f t="shared" si="8"/>
        <v>2087.4052649999999</v>
      </c>
      <c r="M19" s="903">
        <f t="shared" si="8"/>
        <v>1490.662765</v>
      </c>
      <c r="N19" s="903">
        <f t="shared" si="8"/>
        <v>1065.782105</v>
      </c>
      <c r="O19" s="903">
        <f t="shared" si="8"/>
        <v>1064.58862</v>
      </c>
      <c r="P19" s="903">
        <f t="shared" si="8"/>
        <v>1065.782105</v>
      </c>
      <c r="Q19" s="903">
        <f t="shared" si="8"/>
        <v>532.29431</v>
      </c>
      <c r="R19" s="903">
        <f t="shared" si="8"/>
        <v>0</v>
      </c>
      <c r="S19" s="903">
        <f t="shared" si="8"/>
        <v>0</v>
      </c>
      <c r="T19" s="903">
        <f t="shared" si="8"/>
        <v>0</v>
      </c>
      <c r="U19" s="903">
        <f t="shared" si="8"/>
        <v>0</v>
      </c>
      <c r="V19" s="903">
        <f t="shared" si="8"/>
        <v>0</v>
      </c>
      <c r="W19" s="903">
        <f t="shared" si="8"/>
        <v>0</v>
      </c>
      <c r="X19" s="903">
        <f t="shared" si="8"/>
        <v>0</v>
      </c>
      <c r="Y19" s="903">
        <f t="shared" si="8"/>
        <v>0</v>
      </c>
      <c r="Z19" s="903">
        <f t="shared" si="8"/>
        <v>0</v>
      </c>
      <c r="AA19" s="903">
        <f t="shared" si="8"/>
        <v>0</v>
      </c>
      <c r="AB19" s="903">
        <f t="shared" si="8"/>
        <v>0</v>
      </c>
      <c r="AC19" s="903">
        <f t="shared" si="8"/>
        <v>0</v>
      </c>
      <c r="AD19" s="903">
        <f>$H$19*AD18</f>
        <v>0</v>
      </c>
      <c r="AE19" s="903">
        <f>$H$19*AE18</f>
        <v>0</v>
      </c>
      <c r="AF19" s="903">
        <f>$H$19*AF18</f>
        <v>0</v>
      </c>
      <c r="AG19" s="903">
        <f>$H$19*AG18</f>
        <v>0</v>
      </c>
      <c r="AH19" s="903">
        <f>$H$19*AH18</f>
        <v>0</v>
      </c>
    </row>
    <row r="20" spans="1:49" x14ac:dyDescent="0.3">
      <c r="C20" s="188" t="s">
        <v>386</v>
      </c>
      <c r="D20" s="72" t="str">
        <f>D11</f>
        <v>Other Capital Costs</v>
      </c>
      <c r="G20" s="896">
        <f>'Fin Inputs'!AC53</f>
        <v>5</v>
      </c>
      <c r="H20" s="897">
        <f>H11</f>
        <v>0</v>
      </c>
      <c r="I20" s="898">
        <f>SUM(J20:AC20)</f>
        <v>0</v>
      </c>
      <c r="J20" s="265">
        <f>($H20/$G20)*(J$2&lt;=$G20)</f>
        <v>0</v>
      </c>
      <c r="K20" s="265">
        <f t="shared" ref="K20:AD21" si="9">($H20/$G20)*(K$2&lt;=$G20)</f>
        <v>0</v>
      </c>
      <c r="L20" s="265">
        <f t="shared" si="9"/>
        <v>0</v>
      </c>
      <c r="M20" s="265">
        <f t="shared" si="9"/>
        <v>0</v>
      </c>
      <c r="N20" s="265">
        <f t="shared" si="9"/>
        <v>0</v>
      </c>
      <c r="O20" s="265">
        <f t="shared" si="9"/>
        <v>0</v>
      </c>
      <c r="P20" s="265">
        <f t="shared" si="9"/>
        <v>0</v>
      </c>
      <c r="Q20" s="265">
        <f t="shared" si="9"/>
        <v>0</v>
      </c>
      <c r="R20" s="265">
        <f t="shared" si="9"/>
        <v>0</v>
      </c>
      <c r="S20" s="265">
        <f t="shared" si="9"/>
        <v>0</v>
      </c>
      <c r="T20" s="265">
        <f t="shared" si="9"/>
        <v>0</v>
      </c>
      <c r="U20" s="265">
        <f t="shared" si="9"/>
        <v>0</v>
      </c>
      <c r="V20" s="265">
        <f t="shared" si="9"/>
        <v>0</v>
      </c>
      <c r="W20" s="265">
        <f t="shared" si="9"/>
        <v>0</v>
      </c>
      <c r="X20" s="265">
        <f t="shared" si="9"/>
        <v>0</v>
      </c>
      <c r="Y20" s="265">
        <f t="shared" si="9"/>
        <v>0</v>
      </c>
      <c r="Z20" s="265">
        <f t="shared" si="9"/>
        <v>0</v>
      </c>
      <c r="AA20" s="265">
        <f t="shared" si="9"/>
        <v>0</v>
      </c>
      <c r="AB20" s="265">
        <f t="shared" si="9"/>
        <v>0</v>
      </c>
      <c r="AC20" s="265">
        <f t="shared" si="9"/>
        <v>0</v>
      </c>
      <c r="AD20" s="265">
        <f t="shared" si="9"/>
        <v>0</v>
      </c>
      <c r="AE20" s="265">
        <f t="shared" ref="AD20:AH21" si="10">($H20/$G20)*(AE$2&lt;=$G20)</f>
        <v>0</v>
      </c>
      <c r="AF20" s="265">
        <f t="shared" si="10"/>
        <v>0</v>
      </c>
      <c r="AG20" s="265">
        <f t="shared" si="10"/>
        <v>0</v>
      </c>
      <c r="AH20" s="265">
        <f t="shared" si="10"/>
        <v>0</v>
      </c>
    </row>
    <row r="21" spans="1:49" x14ac:dyDescent="0.3">
      <c r="C21" s="188" t="s">
        <v>386</v>
      </c>
      <c r="D21" s="72" t="str">
        <f>D12</f>
        <v>Financing Costs</v>
      </c>
      <c r="G21" s="896">
        <f>'Fin Inputs'!AC54</f>
        <v>5</v>
      </c>
      <c r="H21" s="904">
        <f>H12</f>
        <v>0</v>
      </c>
      <c r="I21" s="905">
        <f>SUM(J21:AC21)</f>
        <v>0</v>
      </c>
      <c r="J21" s="265">
        <f>($H21/$G21)*(J$2&lt;=$G21)</f>
        <v>0</v>
      </c>
      <c r="K21" s="265">
        <f t="shared" si="9"/>
        <v>0</v>
      </c>
      <c r="L21" s="265">
        <f t="shared" si="9"/>
        <v>0</v>
      </c>
      <c r="M21" s="265">
        <f t="shared" si="9"/>
        <v>0</v>
      </c>
      <c r="N21" s="265">
        <f t="shared" si="9"/>
        <v>0</v>
      </c>
      <c r="O21" s="265">
        <f t="shared" si="9"/>
        <v>0</v>
      </c>
      <c r="P21" s="265">
        <f t="shared" si="9"/>
        <v>0</v>
      </c>
      <c r="Q21" s="265">
        <f t="shared" si="9"/>
        <v>0</v>
      </c>
      <c r="R21" s="265">
        <f t="shared" si="9"/>
        <v>0</v>
      </c>
      <c r="S21" s="265">
        <f t="shared" si="9"/>
        <v>0</v>
      </c>
      <c r="T21" s="265">
        <f t="shared" si="9"/>
        <v>0</v>
      </c>
      <c r="U21" s="265">
        <f t="shared" si="9"/>
        <v>0</v>
      </c>
      <c r="V21" s="265">
        <f t="shared" si="9"/>
        <v>0</v>
      </c>
      <c r="W21" s="265">
        <f t="shared" si="9"/>
        <v>0</v>
      </c>
      <c r="X21" s="265">
        <f t="shared" si="9"/>
        <v>0</v>
      </c>
      <c r="Y21" s="265">
        <f t="shared" si="9"/>
        <v>0</v>
      </c>
      <c r="Z21" s="265">
        <f t="shared" si="9"/>
        <v>0</v>
      </c>
      <c r="AA21" s="265">
        <f t="shared" si="9"/>
        <v>0</v>
      </c>
      <c r="AB21" s="265">
        <f t="shared" si="9"/>
        <v>0</v>
      </c>
      <c r="AC21" s="265">
        <f t="shared" si="9"/>
        <v>0</v>
      </c>
      <c r="AD21" s="265">
        <f t="shared" si="10"/>
        <v>0</v>
      </c>
      <c r="AE21" s="265">
        <f t="shared" si="10"/>
        <v>0</v>
      </c>
      <c r="AF21" s="265">
        <f t="shared" si="10"/>
        <v>0</v>
      </c>
      <c r="AG21" s="265">
        <f t="shared" si="10"/>
        <v>0</v>
      </c>
      <c r="AH21" s="265">
        <f t="shared" si="10"/>
        <v>0</v>
      </c>
    </row>
    <row r="22" spans="1:49" x14ac:dyDescent="0.3">
      <c r="H22" s="187">
        <f t="shared" ref="H22:AC22" si="11">SUM(H19:H21)</f>
        <v>11934.85</v>
      </c>
      <c r="I22" s="906">
        <f t="shared" si="11"/>
        <v>11934.849999999999</v>
      </c>
      <c r="J22" s="187">
        <f t="shared" si="11"/>
        <v>1705.490065</v>
      </c>
      <c r="K22" s="187">
        <f t="shared" si="11"/>
        <v>2922.8447650000003</v>
      </c>
      <c r="L22" s="187">
        <f t="shared" si="11"/>
        <v>2087.4052649999999</v>
      </c>
      <c r="M22" s="187">
        <f t="shared" si="11"/>
        <v>1490.662765</v>
      </c>
      <c r="N22" s="187">
        <f t="shared" si="11"/>
        <v>1065.782105</v>
      </c>
      <c r="O22" s="187">
        <f t="shared" si="11"/>
        <v>1064.58862</v>
      </c>
      <c r="P22" s="187">
        <f t="shared" si="11"/>
        <v>1065.782105</v>
      </c>
      <c r="Q22" s="187">
        <f t="shared" si="11"/>
        <v>532.29431</v>
      </c>
      <c r="R22" s="187">
        <f t="shared" si="11"/>
        <v>0</v>
      </c>
      <c r="S22" s="187">
        <f t="shared" si="11"/>
        <v>0</v>
      </c>
      <c r="T22" s="187">
        <f t="shared" si="11"/>
        <v>0</v>
      </c>
      <c r="U22" s="187">
        <f t="shared" si="11"/>
        <v>0</v>
      </c>
      <c r="V22" s="187">
        <f t="shared" si="11"/>
        <v>0</v>
      </c>
      <c r="W22" s="187">
        <f t="shared" si="11"/>
        <v>0</v>
      </c>
      <c r="X22" s="187">
        <f t="shared" si="11"/>
        <v>0</v>
      </c>
      <c r="Y22" s="187">
        <f t="shared" si="11"/>
        <v>0</v>
      </c>
      <c r="Z22" s="187">
        <f t="shared" si="11"/>
        <v>0</v>
      </c>
      <c r="AA22" s="187">
        <f t="shared" si="11"/>
        <v>0</v>
      </c>
      <c r="AB22" s="187">
        <f t="shared" si="11"/>
        <v>0</v>
      </c>
      <c r="AC22" s="187">
        <f t="shared" si="11"/>
        <v>0</v>
      </c>
      <c r="AD22" s="187">
        <f>SUM(AD19:AD21)</f>
        <v>0</v>
      </c>
      <c r="AE22" s="187">
        <f>SUM(AE19:AE21)</f>
        <v>0</v>
      </c>
      <c r="AF22" s="187">
        <f>SUM(AF19:AF21)</f>
        <v>0</v>
      </c>
      <c r="AG22" s="187">
        <f>SUM(AG19:AG21)</f>
        <v>0</v>
      </c>
      <c r="AH22" s="187">
        <f>SUM(AH19:AH21)</f>
        <v>0</v>
      </c>
    </row>
    <row r="23" spans="1:49" x14ac:dyDescent="0.3">
      <c r="H23" s="187"/>
      <c r="I23" s="267"/>
      <c r="J23" s="187"/>
      <c r="K23" s="187"/>
      <c r="L23" s="187"/>
      <c r="M23" s="187"/>
      <c r="N23" s="187"/>
      <c r="O23" s="187"/>
      <c r="P23" s="187"/>
      <c r="Q23" s="187"/>
      <c r="R23" s="187"/>
      <c r="S23" s="187"/>
      <c r="T23" s="187"/>
      <c r="U23" s="187"/>
      <c r="V23" s="187"/>
      <c r="W23" s="187"/>
      <c r="X23" s="187"/>
      <c r="Y23" s="187"/>
      <c r="Z23" s="187"/>
      <c r="AA23" s="187"/>
      <c r="AB23" s="187"/>
      <c r="AC23" s="187"/>
      <c r="AD23" s="187"/>
      <c r="AE23" s="187"/>
      <c r="AF23" s="187"/>
      <c r="AG23" s="187"/>
      <c r="AH23" s="187"/>
    </row>
    <row r="24" spans="1:49" x14ac:dyDescent="0.3">
      <c r="C24" s="72" t="s">
        <v>396</v>
      </c>
      <c r="H24" s="187"/>
      <c r="I24" s="267">
        <v>0</v>
      </c>
      <c r="J24" s="265">
        <f>(I24+J22)</f>
        <v>1705.490065</v>
      </c>
      <c r="K24" s="265">
        <f t="shared" ref="K24:AC24" si="12">(J24+K22)</f>
        <v>4628.3348299999998</v>
      </c>
      <c r="L24" s="265">
        <f t="shared" si="12"/>
        <v>6715.7400949999992</v>
      </c>
      <c r="M24" s="265">
        <f t="shared" si="12"/>
        <v>8206.4028599999983</v>
      </c>
      <c r="N24" s="265">
        <f t="shared" si="12"/>
        <v>9272.1849649999986</v>
      </c>
      <c r="O24" s="265">
        <f t="shared" si="12"/>
        <v>10336.773584999999</v>
      </c>
      <c r="P24" s="265">
        <f t="shared" si="12"/>
        <v>11402.555689999999</v>
      </c>
      <c r="Q24" s="265">
        <f t="shared" si="12"/>
        <v>11934.849999999999</v>
      </c>
      <c r="R24" s="265">
        <f t="shared" si="12"/>
        <v>11934.849999999999</v>
      </c>
      <c r="S24" s="265">
        <f t="shared" si="12"/>
        <v>11934.849999999999</v>
      </c>
      <c r="T24" s="265">
        <f t="shared" si="12"/>
        <v>11934.849999999999</v>
      </c>
      <c r="U24" s="265">
        <f t="shared" si="12"/>
        <v>11934.849999999999</v>
      </c>
      <c r="V24" s="265">
        <f t="shared" si="12"/>
        <v>11934.849999999999</v>
      </c>
      <c r="W24" s="265">
        <f t="shared" si="12"/>
        <v>11934.849999999999</v>
      </c>
      <c r="X24" s="265">
        <f t="shared" si="12"/>
        <v>11934.849999999999</v>
      </c>
      <c r="Y24" s="265">
        <f t="shared" si="12"/>
        <v>11934.849999999999</v>
      </c>
      <c r="Z24" s="265">
        <f t="shared" si="12"/>
        <v>11934.849999999999</v>
      </c>
      <c r="AA24" s="265">
        <f t="shared" si="12"/>
        <v>11934.849999999999</v>
      </c>
      <c r="AB24" s="265">
        <f t="shared" si="12"/>
        <v>11934.849999999999</v>
      </c>
      <c r="AC24" s="265">
        <f t="shared" si="12"/>
        <v>11934.849999999999</v>
      </c>
      <c r="AD24" s="265">
        <f>(AC24+AD22)</f>
        <v>11934.849999999999</v>
      </c>
      <c r="AE24" s="265">
        <f>(AD24+AE22)</f>
        <v>11934.849999999999</v>
      </c>
      <c r="AF24" s="265">
        <f>(AE24+AF22)</f>
        <v>11934.849999999999</v>
      </c>
      <c r="AG24" s="265">
        <f>(AF24+AG22)</f>
        <v>11934.849999999999</v>
      </c>
      <c r="AH24" s="265">
        <f>(AG24+AH22)</f>
        <v>11934.849999999999</v>
      </c>
    </row>
    <row r="25" spans="1:49" x14ac:dyDescent="0.3">
      <c r="A25" s="210"/>
      <c r="B25" s="210"/>
      <c r="C25" s="210"/>
      <c r="D25" s="210"/>
      <c r="E25" s="210"/>
      <c r="F25" s="210"/>
      <c r="G25" s="210"/>
      <c r="H25" s="210"/>
      <c r="I25" s="210"/>
      <c r="J25" s="210"/>
      <c r="K25" s="210"/>
      <c r="L25" s="210"/>
      <c r="M25" s="210"/>
      <c r="N25" s="210"/>
      <c r="O25" s="210"/>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row>
    <row r="26" spans="1:49" ht="15" thickBot="1" x14ac:dyDescent="0.35">
      <c r="B26" s="81" t="s">
        <v>398</v>
      </c>
      <c r="C26" s="262"/>
      <c r="D26" s="83"/>
      <c r="E26" s="83"/>
      <c r="F26" s="83"/>
      <c r="G26" s="83"/>
      <c r="H26" s="83"/>
      <c r="I26" s="83"/>
      <c r="J26" s="83"/>
      <c r="K26" s="83"/>
      <c r="L26" s="83"/>
      <c r="M26" s="83"/>
      <c r="N26" s="83"/>
      <c r="O26" s="83"/>
      <c r="P26" s="83"/>
      <c r="Q26" s="83"/>
      <c r="R26" s="83"/>
      <c r="S26" s="83"/>
      <c r="T26" s="83"/>
      <c r="U26" s="83"/>
      <c r="V26" s="83"/>
      <c r="W26" s="263"/>
      <c r="X26" s="263"/>
      <c r="Y26" s="263"/>
      <c r="Z26" s="263"/>
      <c r="AA26" s="263"/>
      <c r="AB26" s="263"/>
      <c r="AC26" s="263"/>
      <c r="AD26" s="263"/>
      <c r="AE26" s="263"/>
      <c r="AF26" s="263"/>
      <c r="AG26" s="263"/>
      <c r="AH26" s="263"/>
    </row>
    <row r="28" spans="1:49" x14ac:dyDescent="0.3">
      <c r="C28" s="72" t="s">
        <v>46</v>
      </c>
      <c r="J28" s="907">
        <f>'Fin Statement'!G10</f>
        <v>2617.6560790903977</v>
      </c>
      <c r="K28" s="907">
        <f>'Fin Statement'!H10</f>
        <v>584.8463346639362</v>
      </c>
      <c r="L28" s="907">
        <f>'Fin Statement'!I10</f>
        <v>463.39798122317279</v>
      </c>
      <c r="M28" s="907">
        <f>'Fin Statement'!J10</f>
        <v>497.24593537865331</v>
      </c>
      <c r="N28" s="907">
        <f>'Fin Statement'!K10</f>
        <v>540.51152288199989</v>
      </c>
      <c r="O28" s="907">
        <f>'Fin Statement'!L10</f>
        <v>558.32909760271605</v>
      </c>
      <c r="P28" s="907">
        <f>'Fin Statement'!M10</f>
        <v>575.98645072343231</v>
      </c>
      <c r="Q28" s="907">
        <f>'Fin Statement'!N10</f>
        <v>593.48037781214839</v>
      </c>
      <c r="R28" s="907">
        <f>'Fin Statement'!O10</f>
        <v>610.80761034822467</v>
      </c>
      <c r="S28" s="907">
        <f>'Fin Statement'!P10</f>
        <v>627.96481444060805</v>
      </c>
      <c r="T28" s="907">
        <f>'Fin Statement'!Q10</f>
        <v>677.31621809166302</v>
      </c>
      <c r="U28" s="907">
        <f>'Fin Statement'!R10</f>
        <v>726.49072414990019</v>
      </c>
      <c r="V28" s="907">
        <f>'Fin Statement'!S10</f>
        <v>775.48479466346294</v>
      </c>
      <c r="W28" s="907">
        <f>'Fin Statement'!T10</f>
        <v>824.29482092145781</v>
      </c>
      <c r="X28" s="907">
        <f>'Fin Statement'!U10</f>
        <v>872.91712203877353</v>
      </c>
      <c r="Y28" s="907">
        <f>'Fin Statement'!V10</f>
        <v>913.73152363570114</v>
      </c>
      <c r="Z28" s="907">
        <f>'Fin Statement'!W10</f>
        <v>954.35061599626636</v>
      </c>
      <c r="AA28" s="907">
        <f>'Fin Statement'!X10</f>
        <v>994.77049293574123</v>
      </c>
      <c r="AB28" s="907">
        <f>'Fin Statement'!Y10</f>
        <v>1034.9871701457046</v>
      </c>
      <c r="AC28" s="907">
        <f>'Fin Statement'!Z10</f>
        <v>1074.9965836315664</v>
      </c>
      <c r="AD28" s="907">
        <f>'Fin Statement'!AA10</f>
        <v>0</v>
      </c>
      <c r="AE28" s="907">
        <f>'Fin Statement'!AB10</f>
        <v>0</v>
      </c>
      <c r="AF28" s="907">
        <f>'Fin Statement'!AC10</f>
        <v>0</v>
      </c>
      <c r="AG28" s="907">
        <f>'Fin Statement'!AD10</f>
        <v>0</v>
      </c>
      <c r="AH28" s="907">
        <f>'Fin Statement'!AE10</f>
        <v>0</v>
      </c>
    </row>
    <row r="29" spans="1:49" x14ac:dyDescent="0.3">
      <c r="J29" s="907"/>
    </row>
    <row r="30" spans="1:49" x14ac:dyDescent="0.3">
      <c r="C30" s="72" t="s">
        <v>399</v>
      </c>
      <c r="J30" s="907"/>
    </row>
    <row r="31" spans="1:49" x14ac:dyDescent="0.3">
      <c r="C31" s="72" t="s">
        <v>386</v>
      </c>
      <c r="D31" s="72" t="s">
        <v>400</v>
      </c>
      <c r="J31" s="907">
        <f>-Debt!G14</f>
        <v>0</v>
      </c>
      <c r="K31" s="907">
        <f>-Debt!H14</f>
        <v>0</v>
      </c>
      <c r="L31" s="907">
        <f>-Debt!I14</f>
        <v>0</v>
      </c>
      <c r="M31" s="907">
        <f>-Debt!J14</f>
        <v>0</v>
      </c>
      <c r="N31" s="907">
        <f>-Debt!K14</f>
        <v>0</v>
      </c>
      <c r="O31" s="907">
        <f>-Debt!L14</f>
        <v>0</v>
      </c>
      <c r="P31" s="907">
        <f>-Debt!M14</f>
        <v>0</v>
      </c>
      <c r="Q31" s="907">
        <f>-Debt!N14</f>
        <v>0</v>
      </c>
      <c r="R31" s="907">
        <f>-Debt!O14</f>
        <v>0</v>
      </c>
      <c r="S31" s="907">
        <f>-Debt!P14</f>
        <v>0</v>
      </c>
      <c r="T31" s="907">
        <f>-Debt!Q14</f>
        <v>0</v>
      </c>
      <c r="U31" s="907">
        <f>-Debt!R14</f>
        <v>0</v>
      </c>
      <c r="V31" s="907">
        <f>-Debt!S14</f>
        <v>0</v>
      </c>
      <c r="W31" s="907">
        <f>-Debt!T14</f>
        <v>0</v>
      </c>
      <c r="X31" s="907">
        <f>-Debt!U14</f>
        <v>0</v>
      </c>
      <c r="Y31" s="907">
        <f>-Debt!V14</f>
        <v>0</v>
      </c>
      <c r="Z31" s="907">
        <f>-Debt!W14</f>
        <v>0</v>
      </c>
      <c r="AA31" s="907">
        <f>-Debt!X14</f>
        <v>0</v>
      </c>
      <c r="AB31" s="907">
        <f>-Debt!Y14</f>
        <v>0</v>
      </c>
      <c r="AC31" s="907">
        <f>-Debt!Z14</f>
        <v>0</v>
      </c>
      <c r="AD31" s="907">
        <f>-Debt!AA14</f>
        <v>0</v>
      </c>
      <c r="AE31" s="907">
        <f>-Debt!AB14</f>
        <v>0</v>
      </c>
      <c r="AF31" s="907">
        <f>-Debt!AC14</f>
        <v>0</v>
      </c>
      <c r="AG31" s="907">
        <f>-Debt!AD14</f>
        <v>0</v>
      </c>
      <c r="AH31" s="907">
        <f>-Debt!AE14</f>
        <v>0</v>
      </c>
    </row>
    <row r="32" spans="1:49" x14ac:dyDescent="0.3">
      <c r="C32" s="72" t="s">
        <v>386</v>
      </c>
      <c r="D32" s="72" t="s">
        <v>401</v>
      </c>
      <c r="J32" s="907">
        <f>-J$22</f>
        <v>-1705.490065</v>
      </c>
      <c r="K32" s="907">
        <f t="shared" ref="K32:AH32" si="13">-K$22</f>
        <v>-2922.8447650000003</v>
      </c>
      <c r="L32" s="907">
        <f t="shared" si="13"/>
        <v>-2087.4052649999999</v>
      </c>
      <c r="M32" s="907">
        <f t="shared" si="13"/>
        <v>-1490.662765</v>
      </c>
      <c r="N32" s="907">
        <f t="shared" si="13"/>
        <v>-1065.782105</v>
      </c>
      <c r="O32" s="907">
        <f t="shared" si="13"/>
        <v>-1064.58862</v>
      </c>
      <c r="P32" s="907">
        <f t="shared" si="13"/>
        <v>-1065.782105</v>
      </c>
      <c r="Q32" s="907">
        <f t="shared" si="13"/>
        <v>-532.29431</v>
      </c>
      <c r="R32" s="907">
        <f t="shared" si="13"/>
        <v>0</v>
      </c>
      <c r="S32" s="907">
        <f t="shared" si="13"/>
        <v>0</v>
      </c>
      <c r="T32" s="907">
        <f t="shared" si="13"/>
        <v>0</v>
      </c>
      <c r="U32" s="907">
        <f t="shared" si="13"/>
        <v>0</v>
      </c>
      <c r="V32" s="907">
        <f t="shared" si="13"/>
        <v>0</v>
      </c>
      <c r="W32" s="907">
        <f t="shared" si="13"/>
        <v>0</v>
      </c>
      <c r="X32" s="907">
        <f t="shared" si="13"/>
        <v>0</v>
      </c>
      <c r="Y32" s="907">
        <f t="shared" si="13"/>
        <v>0</v>
      </c>
      <c r="Z32" s="907">
        <f t="shared" si="13"/>
        <v>0</v>
      </c>
      <c r="AA32" s="907">
        <f t="shared" si="13"/>
        <v>0</v>
      </c>
      <c r="AB32" s="907">
        <f t="shared" si="13"/>
        <v>0</v>
      </c>
      <c r="AC32" s="907">
        <f t="shared" si="13"/>
        <v>0</v>
      </c>
      <c r="AD32" s="907">
        <f t="shared" si="13"/>
        <v>0</v>
      </c>
      <c r="AE32" s="907">
        <f t="shared" si="13"/>
        <v>0</v>
      </c>
      <c r="AF32" s="907">
        <f t="shared" si="13"/>
        <v>0</v>
      </c>
      <c r="AG32" s="907">
        <f t="shared" si="13"/>
        <v>0</v>
      </c>
      <c r="AH32" s="907">
        <f t="shared" si="13"/>
        <v>0</v>
      </c>
    </row>
    <row r="33" spans="3:34" x14ac:dyDescent="0.3">
      <c r="C33" s="72" t="s">
        <v>386</v>
      </c>
      <c r="D33" s="72" t="s">
        <v>402</v>
      </c>
      <c r="E33" s="908">
        <v>0</v>
      </c>
      <c r="F33" s="909">
        <v>0</v>
      </c>
      <c r="G33" s="909">
        <v>0</v>
      </c>
      <c r="H33" s="909">
        <v>0</v>
      </c>
      <c r="I33" s="910">
        <v>0</v>
      </c>
      <c r="J33" s="907">
        <f>J28+J31+J32</f>
        <v>912.16601409039777</v>
      </c>
      <c r="K33" s="907">
        <f t="shared" ref="K33:AC33" si="14">K28+K31+K32</f>
        <v>-2337.9984303360643</v>
      </c>
      <c r="L33" s="907">
        <f t="shared" si="14"/>
        <v>-1624.0072837768271</v>
      </c>
      <c r="M33" s="907">
        <f t="shared" si="14"/>
        <v>-993.41682962134678</v>
      </c>
      <c r="N33" s="907">
        <f t="shared" si="14"/>
        <v>-525.27058211800011</v>
      </c>
      <c r="O33" s="907">
        <f t="shared" si="14"/>
        <v>-506.25952239728394</v>
      </c>
      <c r="P33" s="907">
        <f t="shared" si="14"/>
        <v>-489.79565427656769</v>
      </c>
      <c r="Q33" s="907">
        <f t="shared" si="14"/>
        <v>61.186067812148394</v>
      </c>
      <c r="R33" s="907">
        <f t="shared" si="14"/>
        <v>610.80761034822467</v>
      </c>
      <c r="S33" s="907">
        <f t="shared" si="14"/>
        <v>627.96481444060805</v>
      </c>
      <c r="T33" s="907">
        <f t="shared" si="14"/>
        <v>677.31621809166302</v>
      </c>
      <c r="U33" s="907">
        <f t="shared" si="14"/>
        <v>726.49072414990019</v>
      </c>
      <c r="V33" s="907">
        <f t="shared" si="14"/>
        <v>775.48479466346294</v>
      </c>
      <c r="W33" s="907">
        <f t="shared" si="14"/>
        <v>824.29482092145781</v>
      </c>
      <c r="X33" s="907">
        <f t="shared" si="14"/>
        <v>872.91712203877353</v>
      </c>
      <c r="Y33" s="907">
        <f t="shared" si="14"/>
        <v>913.73152363570114</v>
      </c>
      <c r="Z33" s="907">
        <f t="shared" si="14"/>
        <v>954.35061599626636</v>
      </c>
      <c r="AA33" s="907">
        <f t="shared" si="14"/>
        <v>994.77049293574123</v>
      </c>
      <c r="AB33" s="907">
        <f t="shared" si="14"/>
        <v>1034.9871701457046</v>
      </c>
      <c r="AC33" s="907">
        <f t="shared" si="14"/>
        <v>1074.9965836315664</v>
      </c>
      <c r="AD33" s="907">
        <f>AD28+AD31+AD32</f>
        <v>0</v>
      </c>
      <c r="AE33" s="907">
        <f>AE28+AE31+AE32</f>
        <v>0</v>
      </c>
      <c r="AF33" s="907">
        <f>AF28+AF31+AF32</f>
        <v>0</v>
      </c>
      <c r="AG33" s="907">
        <f>AG28+AG31+AG32</f>
        <v>0</v>
      </c>
      <c r="AH33" s="907">
        <f>AH28+AH31+AH32</f>
        <v>0</v>
      </c>
    </row>
    <row r="34" spans="3:34" x14ac:dyDescent="0.3">
      <c r="E34" s="911"/>
      <c r="F34" s="911"/>
      <c r="G34" s="911"/>
      <c r="H34" s="911"/>
      <c r="I34" s="911"/>
      <c r="J34" s="907"/>
      <c r="K34" s="907"/>
      <c r="L34" s="907"/>
      <c r="M34" s="907"/>
      <c r="N34" s="907"/>
      <c r="O34" s="907"/>
      <c r="P34" s="907"/>
      <c r="Q34" s="907"/>
      <c r="R34" s="907"/>
      <c r="S34" s="907"/>
      <c r="T34" s="907"/>
      <c r="U34" s="907"/>
      <c r="V34" s="907"/>
      <c r="W34" s="907"/>
      <c r="X34" s="907"/>
      <c r="Y34" s="907"/>
      <c r="Z34" s="907"/>
      <c r="AA34" s="907"/>
      <c r="AB34" s="907"/>
      <c r="AC34" s="907"/>
      <c r="AD34" s="907"/>
      <c r="AE34" s="907"/>
      <c r="AF34" s="907"/>
      <c r="AG34" s="907"/>
      <c r="AH34" s="907"/>
    </row>
    <row r="35" spans="3:34" x14ac:dyDescent="0.3">
      <c r="C35" s="72" t="s">
        <v>386</v>
      </c>
      <c r="D35" s="72" t="s">
        <v>400</v>
      </c>
      <c r="E35" s="912"/>
      <c r="F35" s="912"/>
      <c r="G35" s="912"/>
      <c r="H35" s="912"/>
      <c r="I35" s="912"/>
      <c r="J35" s="907">
        <f>-Debt!G14</f>
        <v>0</v>
      </c>
      <c r="K35" s="907">
        <f>-Debt!H14</f>
        <v>0</v>
      </c>
      <c r="L35" s="907">
        <f>-Debt!I14</f>
        <v>0</v>
      </c>
      <c r="M35" s="907">
        <f>-Debt!J14</f>
        <v>0</v>
      </c>
      <c r="N35" s="907">
        <f>-Debt!K14</f>
        <v>0</v>
      </c>
      <c r="O35" s="907">
        <f>-Debt!L14</f>
        <v>0</v>
      </c>
      <c r="P35" s="907">
        <f>-Debt!M14</f>
        <v>0</v>
      </c>
      <c r="Q35" s="907">
        <f>-Debt!N14</f>
        <v>0</v>
      </c>
      <c r="R35" s="907">
        <f>-Debt!O14</f>
        <v>0</v>
      </c>
      <c r="S35" s="907">
        <f>-Debt!P14</f>
        <v>0</v>
      </c>
      <c r="T35" s="907">
        <f>-Debt!Q14</f>
        <v>0</v>
      </c>
      <c r="U35" s="907">
        <f>-Debt!R14</f>
        <v>0</v>
      </c>
      <c r="V35" s="907">
        <f>-Debt!S14</f>
        <v>0</v>
      </c>
      <c r="W35" s="907">
        <f>-Debt!T14</f>
        <v>0</v>
      </c>
      <c r="X35" s="907">
        <f>-Debt!U14</f>
        <v>0</v>
      </c>
      <c r="Y35" s="907">
        <f>-Debt!V14</f>
        <v>0</v>
      </c>
      <c r="Z35" s="907">
        <f>-Debt!W14</f>
        <v>0</v>
      </c>
      <c r="AA35" s="907">
        <f>-Debt!X14</f>
        <v>0</v>
      </c>
      <c r="AB35" s="907">
        <f>-Debt!Y14</f>
        <v>0</v>
      </c>
      <c r="AC35" s="907">
        <f>-Debt!Z14</f>
        <v>0</v>
      </c>
      <c r="AD35" s="907">
        <f>-Debt!AA14</f>
        <v>0</v>
      </c>
      <c r="AE35" s="907">
        <f>-Debt!AB14</f>
        <v>0</v>
      </c>
      <c r="AF35" s="907">
        <f>-Debt!AC14</f>
        <v>0</v>
      </c>
      <c r="AG35" s="907">
        <f>-Debt!AD14</f>
        <v>0</v>
      </c>
      <c r="AH35" s="907">
        <f>-Debt!AE14</f>
        <v>0</v>
      </c>
    </row>
    <row r="36" spans="3:34" x14ac:dyDescent="0.3">
      <c r="C36" s="72" t="s">
        <v>386</v>
      </c>
      <c r="D36" s="72" t="s">
        <v>403</v>
      </c>
      <c r="E36" s="911"/>
      <c r="F36" s="911"/>
      <c r="G36" s="911"/>
      <c r="H36" s="911"/>
      <c r="I36" s="911"/>
      <c r="J36" s="907">
        <f>-J$13</f>
        <v>-596.74250000000006</v>
      </c>
      <c r="K36" s="907">
        <f t="shared" ref="K36:AH36" si="15">-K$13</f>
        <v>-596.74250000000006</v>
      </c>
      <c r="L36" s="907">
        <f t="shared" si="15"/>
        <v>-596.74250000000006</v>
      </c>
      <c r="M36" s="907">
        <f t="shared" si="15"/>
        <v>-596.74250000000006</v>
      </c>
      <c r="N36" s="907">
        <f t="shared" si="15"/>
        <v>-596.74250000000006</v>
      </c>
      <c r="O36" s="907">
        <f t="shared" si="15"/>
        <v>-596.74250000000006</v>
      </c>
      <c r="P36" s="907">
        <f t="shared" si="15"/>
        <v>-596.74250000000006</v>
      </c>
      <c r="Q36" s="907">
        <f t="shared" si="15"/>
        <v>-596.74250000000006</v>
      </c>
      <c r="R36" s="907">
        <f t="shared" si="15"/>
        <v>-596.74250000000006</v>
      </c>
      <c r="S36" s="907">
        <f t="shared" si="15"/>
        <v>-596.74250000000006</v>
      </c>
      <c r="T36" s="907">
        <f t="shared" si="15"/>
        <v>-596.74250000000006</v>
      </c>
      <c r="U36" s="907">
        <f t="shared" si="15"/>
        <v>-596.74250000000006</v>
      </c>
      <c r="V36" s="907">
        <f t="shared" si="15"/>
        <v>-596.74250000000006</v>
      </c>
      <c r="W36" s="907">
        <f t="shared" si="15"/>
        <v>-596.74250000000006</v>
      </c>
      <c r="X36" s="907">
        <f t="shared" si="15"/>
        <v>-596.74250000000006</v>
      </c>
      <c r="Y36" s="907">
        <f t="shared" si="15"/>
        <v>-596.74250000000006</v>
      </c>
      <c r="Z36" s="907">
        <f t="shared" si="15"/>
        <v>-596.74250000000006</v>
      </c>
      <c r="AA36" s="907">
        <f t="shared" si="15"/>
        <v>-596.74250000000006</v>
      </c>
      <c r="AB36" s="907">
        <f t="shared" si="15"/>
        <v>-596.74250000000006</v>
      </c>
      <c r="AC36" s="907">
        <f t="shared" si="15"/>
        <v>-596.74250000000006</v>
      </c>
      <c r="AD36" s="907">
        <f t="shared" si="15"/>
        <v>0</v>
      </c>
      <c r="AE36" s="907">
        <f t="shared" si="15"/>
        <v>0</v>
      </c>
      <c r="AF36" s="907">
        <f t="shared" si="15"/>
        <v>0</v>
      </c>
      <c r="AG36" s="907">
        <f t="shared" si="15"/>
        <v>0</v>
      </c>
      <c r="AH36" s="907">
        <f t="shared" si="15"/>
        <v>0</v>
      </c>
    </row>
    <row r="37" spans="3:34" x14ac:dyDescent="0.3">
      <c r="C37" s="72" t="s">
        <v>386</v>
      </c>
      <c r="D37" s="72" t="s">
        <v>404</v>
      </c>
      <c r="E37" s="908">
        <v>0</v>
      </c>
      <c r="F37" s="909">
        <v>0</v>
      </c>
      <c r="G37" s="909">
        <v>0</v>
      </c>
      <c r="H37" s="909">
        <v>0</v>
      </c>
      <c r="I37" s="910">
        <v>0</v>
      </c>
      <c r="J37" s="907">
        <f t="shared" ref="J37:AC37" si="16">J28+J35+J36</f>
        <v>2020.9135790903977</v>
      </c>
      <c r="K37" s="907">
        <f t="shared" si="16"/>
        <v>-11.896165336063859</v>
      </c>
      <c r="L37" s="907">
        <f t="shared" si="16"/>
        <v>-133.34451877682727</v>
      </c>
      <c r="M37" s="907">
        <f t="shared" si="16"/>
        <v>-99.496564621346749</v>
      </c>
      <c r="N37" s="907">
        <f t="shared" si="16"/>
        <v>-56.230977118000169</v>
      </c>
      <c r="O37" s="907">
        <f t="shared" si="16"/>
        <v>-38.413402397284017</v>
      </c>
      <c r="P37" s="907">
        <f t="shared" si="16"/>
        <v>-20.756049276567751</v>
      </c>
      <c r="Q37" s="907">
        <f t="shared" si="16"/>
        <v>-3.2621221878516735</v>
      </c>
      <c r="R37" s="907">
        <f t="shared" si="16"/>
        <v>14.065110348224607</v>
      </c>
      <c r="S37" s="907">
        <f t="shared" si="16"/>
        <v>31.222314440607988</v>
      </c>
      <c r="T37" s="907">
        <f t="shared" si="16"/>
        <v>80.573718091662954</v>
      </c>
      <c r="U37" s="907">
        <f t="shared" si="16"/>
        <v>129.74822414990012</v>
      </c>
      <c r="V37" s="907">
        <f t="shared" si="16"/>
        <v>178.74229466346287</v>
      </c>
      <c r="W37" s="907">
        <f t="shared" si="16"/>
        <v>227.55232092145775</v>
      </c>
      <c r="X37" s="907">
        <f t="shared" si="16"/>
        <v>276.17462203877346</v>
      </c>
      <c r="Y37" s="907">
        <f t="shared" si="16"/>
        <v>316.98902363570107</v>
      </c>
      <c r="Z37" s="907">
        <f t="shared" si="16"/>
        <v>357.60811599626629</v>
      </c>
      <c r="AA37" s="907">
        <f t="shared" si="16"/>
        <v>398.02799293574117</v>
      </c>
      <c r="AB37" s="907">
        <f t="shared" si="16"/>
        <v>438.2446701457045</v>
      </c>
      <c r="AC37" s="907">
        <f t="shared" si="16"/>
        <v>478.25408363156635</v>
      </c>
      <c r="AD37" s="907">
        <f>AD28+AD35+AD36</f>
        <v>0</v>
      </c>
      <c r="AE37" s="907">
        <f>AE28+AE35+AE36</f>
        <v>0</v>
      </c>
      <c r="AF37" s="907">
        <f>AF28+AF35+AF36</f>
        <v>0</v>
      </c>
      <c r="AG37" s="907">
        <f>AG28+AG35+AG36</f>
        <v>0</v>
      </c>
      <c r="AH37" s="907">
        <f>AH28+AH35+AH36</f>
        <v>0</v>
      </c>
    </row>
    <row r="38" spans="3:34" x14ac:dyDescent="0.3">
      <c r="J38" s="907"/>
    </row>
    <row r="39" spans="3:34" x14ac:dyDescent="0.3">
      <c r="C39" s="72" t="s">
        <v>405</v>
      </c>
      <c r="J39" s="907"/>
    </row>
    <row r="40" spans="3:34" x14ac:dyDescent="0.3">
      <c r="J40" s="907"/>
    </row>
    <row r="41" spans="3:34" x14ac:dyDescent="0.3">
      <c r="C41" s="72" t="s">
        <v>386</v>
      </c>
      <c r="D41" s="72" t="s">
        <v>406</v>
      </c>
      <c r="J41" s="907">
        <f>MIN(I47,0)</f>
        <v>0</v>
      </c>
      <c r="K41" s="907">
        <f t="shared" ref="K41:AC41" si="17">MIN(J47,0)</f>
        <v>0</v>
      </c>
      <c r="L41" s="907">
        <f t="shared" si="17"/>
        <v>-2337.9984303360643</v>
      </c>
      <c r="M41" s="907">
        <f t="shared" si="17"/>
        <v>-3962.0057141128914</v>
      </c>
      <c r="N41" s="907">
        <f t="shared" si="17"/>
        <v>-4955.4225437342384</v>
      </c>
      <c r="O41" s="907">
        <f t="shared" si="17"/>
        <v>-5480.6931258522382</v>
      </c>
      <c r="P41" s="907">
        <f t="shared" si="17"/>
        <v>-5986.9526482495221</v>
      </c>
      <c r="Q41" s="907">
        <f t="shared" si="17"/>
        <v>-6476.7483025260899</v>
      </c>
      <c r="R41" s="907">
        <f t="shared" si="17"/>
        <v>-6415.5622347139415</v>
      </c>
      <c r="S41" s="907">
        <f t="shared" si="17"/>
        <v>-5804.7546243657171</v>
      </c>
      <c r="T41" s="907">
        <f t="shared" si="17"/>
        <v>-5176.7898099251088</v>
      </c>
      <c r="U41" s="907">
        <f t="shared" si="17"/>
        <v>-4499.4735918334454</v>
      </c>
      <c r="V41" s="907">
        <f t="shared" si="17"/>
        <v>-3772.982867683545</v>
      </c>
      <c r="W41" s="907">
        <f t="shared" si="17"/>
        <v>-2997.4980730200823</v>
      </c>
      <c r="X41" s="907">
        <f t="shared" si="17"/>
        <v>-2173.2032520986245</v>
      </c>
      <c r="Y41" s="907">
        <f t="shared" si="17"/>
        <v>-1300.2861300598511</v>
      </c>
      <c r="Z41" s="907">
        <f t="shared" si="17"/>
        <v>-386.55460642414994</v>
      </c>
      <c r="AA41" s="907">
        <f t="shared" si="17"/>
        <v>0</v>
      </c>
      <c r="AB41" s="907">
        <f t="shared" si="17"/>
        <v>0</v>
      </c>
      <c r="AC41" s="907">
        <f t="shared" si="17"/>
        <v>0</v>
      </c>
      <c r="AD41" s="907">
        <f>MIN(AC47,0)</f>
        <v>0</v>
      </c>
      <c r="AE41" s="907">
        <f>MIN(AD47,0)</f>
        <v>0</v>
      </c>
      <c r="AF41" s="907">
        <f>MIN(AE47,0)</f>
        <v>0</v>
      </c>
      <c r="AG41" s="907">
        <f>MIN(AF47,0)</f>
        <v>0</v>
      </c>
      <c r="AH41" s="907">
        <f>MIN(AG47,0)</f>
        <v>0</v>
      </c>
    </row>
    <row r="42" spans="3:34" x14ac:dyDescent="0.3">
      <c r="C42" s="72" t="s">
        <v>386</v>
      </c>
      <c r="D42" s="72" t="s">
        <v>407</v>
      </c>
      <c r="J42" s="907">
        <f>MIN(I51,0)</f>
        <v>0</v>
      </c>
      <c r="K42" s="907">
        <f t="shared" ref="K42:AC42" si="18">MIN(J51,0)</f>
        <v>0</v>
      </c>
      <c r="L42" s="907">
        <f t="shared" si="18"/>
        <v>-11.896165336063859</v>
      </c>
      <c r="M42" s="907">
        <f t="shared" si="18"/>
        <v>-145.24068411289113</v>
      </c>
      <c r="N42" s="907">
        <f t="shared" si="18"/>
        <v>-244.73724873423788</v>
      </c>
      <c r="O42" s="907">
        <f t="shared" si="18"/>
        <v>-300.96822585223805</v>
      </c>
      <c r="P42" s="907">
        <f t="shared" si="18"/>
        <v>-339.38162824952207</v>
      </c>
      <c r="Q42" s="907">
        <f t="shared" si="18"/>
        <v>-360.13767752608982</v>
      </c>
      <c r="R42" s="907">
        <f t="shared" si="18"/>
        <v>-363.39979971394149</v>
      </c>
      <c r="S42" s="907">
        <f t="shared" si="18"/>
        <v>-349.33468936571688</v>
      </c>
      <c r="T42" s="907">
        <f t="shared" si="18"/>
        <v>-318.1123749251089</v>
      </c>
      <c r="U42" s="907">
        <f t="shared" si="18"/>
        <v>-237.53865683344594</v>
      </c>
      <c r="V42" s="907">
        <f t="shared" si="18"/>
        <v>-107.79043268354582</v>
      </c>
      <c r="W42" s="907">
        <f t="shared" si="18"/>
        <v>0</v>
      </c>
      <c r="X42" s="907">
        <f t="shared" si="18"/>
        <v>0</v>
      </c>
      <c r="Y42" s="907">
        <f t="shared" si="18"/>
        <v>0</v>
      </c>
      <c r="Z42" s="907">
        <f t="shared" si="18"/>
        <v>0</v>
      </c>
      <c r="AA42" s="907">
        <f t="shared" si="18"/>
        <v>0</v>
      </c>
      <c r="AB42" s="907">
        <f t="shared" si="18"/>
        <v>0</v>
      </c>
      <c r="AC42" s="907">
        <f t="shared" si="18"/>
        <v>0</v>
      </c>
      <c r="AD42" s="907">
        <f>MIN(AC51,0)</f>
        <v>0</v>
      </c>
      <c r="AE42" s="907">
        <f>MIN(AD51,0)</f>
        <v>0</v>
      </c>
      <c r="AF42" s="907">
        <f>MIN(AE51,0)</f>
        <v>0</v>
      </c>
      <c r="AG42" s="907">
        <f>MIN(AF51,0)</f>
        <v>0</v>
      </c>
      <c r="AH42" s="907">
        <f>MIN(AG51,0)</f>
        <v>0</v>
      </c>
    </row>
    <row r="43" spans="3:34" x14ac:dyDescent="0.3">
      <c r="J43" s="907"/>
    </row>
    <row r="44" spans="3:34" x14ac:dyDescent="0.3">
      <c r="C44" s="72" t="s">
        <v>408</v>
      </c>
      <c r="J44" s="907"/>
    </row>
    <row r="45" spans="3:34" x14ac:dyDescent="0.3">
      <c r="C45" s="72" t="s">
        <v>386</v>
      </c>
      <c r="D45" s="72" t="s">
        <v>402</v>
      </c>
      <c r="J45" s="907">
        <f>J33</f>
        <v>912.16601409039777</v>
      </c>
      <c r="K45" s="907">
        <f t="shared" ref="K45:AC45" si="19">K33</f>
        <v>-2337.9984303360643</v>
      </c>
      <c r="L45" s="907">
        <f t="shared" si="19"/>
        <v>-1624.0072837768271</v>
      </c>
      <c r="M45" s="907">
        <f t="shared" si="19"/>
        <v>-993.41682962134678</v>
      </c>
      <c r="N45" s="907">
        <f t="shared" si="19"/>
        <v>-525.27058211800011</v>
      </c>
      <c r="O45" s="907">
        <f t="shared" si="19"/>
        <v>-506.25952239728394</v>
      </c>
      <c r="P45" s="907">
        <f t="shared" si="19"/>
        <v>-489.79565427656769</v>
      </c>
      <c r="Q45" s="907">
        <f t="shared" si="19"/>
        <v>61.186067812148394</v>
      </c>
      <c r="R45" s="907">
        <f t="shared" si="19"/>
        <v>610.80761034822467</v>
      </c>
      <c r="S45" s="907">
        <f t="shared" si="19"/>
        <v>627.96481444060805</v>
      </c>
      <c r="T45" s="907">
        <f t="shared" si="19"/>
        <v>677.31621809166302</v>
      </c>
      <c r="U45" s="907">
        <f t="shared" si="19"/>
        <v>726.49072414990019</v>
      </c>
      <c r="V45" s="907">
        <f t="shared" si="19"/>
        <v>775.48479466346294</v>
      </c>
      <c r="W45" s="907">
        <f t="shared" si="19"/>
        <v>824.29482092145781</v>
      </c>
      <c r="X45" s="907">
        <f t="shared" si="19"/>
        <v>872.91712203877353</v>
      </c>
      <c r="Y45" s="907">
        <f t="shared" si="19"/>
        <v>913.73152363570114</v>
      </c>
      <c r="Z45" s="907">
        <f t="shared" si="19"/>
        <v>954.35061599626636</v>
      </c>
      <c r="AA45" s="907">
        <f t="shared" si="19"/>
        <v>994.77049293574123</v>
      </c>
      <c r="AB45" s="907">
        <f t="shared" si="19"/>
        <v>1034.9871701457046</v>
      </c>
      <c r="AC45" s="907">
        <f t="shared" si="19"/>
        <v>1074.9965836315664</v>
      </c>
      <c r="AD45" s="907">
        <f>AD33</f>
        <v>0</v>
      </c>
      <c r="AE45" s="907">
        <f>AE33</f>
        <v>0</v>
      </c>
      <c r="AF45" s="907">
        <f>AF33</f>
        <v>0</v>
      </c>
      <c r="AG45" s="907">
        <f>AG33</f>
        <v>0</v>
      </c>
      <c r="AH45" s="907">
        <f>AH33</f>
        <v>0</v>
      </c>
    </row>
    <row r="46" spans="3:34" x14ac:dyDescent="0.3">
      <c r="C46" s="72" t="s">
        <v>386</v>
      </c>
      <c r="D46" s="72" t="s">
        <v>409</v>
      </c>
      <c r="J46" s="907">
        <f>J41</f>
        <v>0</v>
      </c>
      <c r="K46" s="907">
        <f t="shared" ref="K46:AC46" si="20">K41</f>
        <v>0</v>
      </c>
      <c r="L46" s="907">
        <f t="shared" si="20"/>
        <v>-2337.9984303360643</v>
      </c>
      <c r="M46" s="907">
        <f t="shared" si="20"/>
        <v>-3962.0057141128914</v>
      </c>
      <c r="N46" s="907">
        <f t="shared" si="20"/>
        <v>-4955.4225437342384</v>
      </c>
      <c r="O46" s="907">
        <f t="shared" si="20"/>
        <v>-5480.6931258522382</v>
      </c>
      <c r="P46" s="907">
        <f t="shared" si="20"/>
        <v>-5986.9526482495221</v>
      </c>
      <c r="Q46" s="907">
        <f t="shared" si="20"/>
        <v>-6476.7483025260899</v>
      </c>
      <c r="R46" s="907">
        <f t="shared" si="20"/>
        <v>-6415.5622347139415</v>
      </c>
      <c r="S46" s="907">
        <f t="shared" si="20"/>
        <v>-5804.7546243657171</v>
      </c>
      <c r="T46" s="907">
        <f t="shared" si="20"/>
        <v>-5176.7898099251088</v>
      </c>
      <c r="U46" s="907">
        <f t="shared" si="20"/>
        <v>-4499.4735918334454</v>
      </c>
      <c r="V46" s="907">
        <f t="shared" si="20"/>
        <v>-3772.982867683545</v>
      </c>
      <c r="W46" s="907">
        <f t="shared" si="20"/>
        <v>-2997.4980730200823</v>
      </c>
      <c r="X46" s="907">
        <f t="shared" si="20"/>
        <v>-2173.2032520986245</v>
      </c>
      <c r="Y46" s="907">
        <f t="shared" si="20"/>
        <v>-1300.2861300598511</v>
      </c>
      <c r="Z46" s="907">
        <f t="shared" si="20"/>
        <v>-386.55460642414994</v>
      </c>
      <c r="AA46" s="907">
        <f t="shared" si="20"/>
        <v>0</v>
      </c>
      <c r="AB46" s="907">
        <f t="shared" si="20"/>
        <v>0</v>
      </c>
      <c r="AC46" s="907">
        <f t="shared" si="20"/>
        <v>0</v>
      </c>
      <c r="AD46" s="907">
        <f>AD41</f>
        <v>0</v>
      </c>
      <c r="AE46" s="907">
        <f>AE41</f>
        <v>0</v>
      </c>
      <c r="AF46" s="907">
        <f>AF41</f>
        <v>0</v>
      </c>
      <c r="AG46" s="907">
        <f>AG41</f>
        <v>0</v>
      </c>
      <c r="AH46" s="907">
        <f>AH41</f>
        <v>0</v>
      </c>
    </row>
    <row r="47" spans="3:34" x14ac:dyDescent="0.3">
      <c r="D47" s="72" t="s">
        <v>342</v>
      </c>
      <c r="I47" s="277">
        <v>0</v>
      </c>
      <c r="J47" s="907">
        <f>SUM(J45:J46)</f>
        <v>912.16601409039777</v>
      </c>
      <c r="K47" s="907">
        <f t="shared" ref="K47:AC47" si="21">SUM(K45:K46)</f>
        <v>-2337.9984303360643</v>
      </c>
      <c r="L47" s="907">
        <f t="shared" si="21"/>
        <v>-3962.0057141128914</v>
      </c>
      <c r="M47" s="907">
        <f t="shared" si="21"/>
        <v>-4955.4225437342384</v>
      </c>
      <c r="N47" s="907">
        <f t="shared" si="21"/>
        <v>-5480.6931258522382</v>
      </c>
      <c r="O47" s="907">
        <f t="shared" si="21"/>
        <v>-5986.9526482495221</v>
      </c>
      <c r="P47" s="907">
        <f t="shared" si="21"/>
        <v>-6476.7483025260899</v>
      </c>
      <c r="Q47" s="907">
        <f t="shared" si="21"/>
        <v>-6415.5622347139415</v>
      </c>
      <c r="R47" s="907">
        <f t="shared" si="21"/>
        <v>-5804.7546243657171</v>
      </c>
      <c r="S47" s="907">
        <f t="shared" si="21"/>
        <v>-5176.7898099251088</v>
      </c>
      <c r="T47" s="907">
        <f t="shared" si="21"/>
        <v>-4499.4735918334454</v>
      </c>
      <c r="U47" s="907">
        <f t="shared" si="21"/>
        <v>-3772.982867683545</v>
      </c>
      <c r="V47" s="907">
        <f t="shared" si="21"/>
        <v>-2997.4980730200823</v>
      </c>
      <c r="W47" s="907">
        <f t="shared" si="21"/>
        <v>-2173.2032520986245</v>
      </c>
      <c r="X47" s="907">
        <f t="shared" si="21"/>
        <v>-1300.2861300598511</v>
      </c>
      <c r="Y47" s="907">
        <f t="shared" si="21"/>
        <v>-386.55460642414994</v>
      </c>
      <c r="Z47" s="907">
        <f t="shared" si="21"/>
        <v>567.79600957211642</v>
      </c>
      <c r="AA47" s="907">
        <f t="shared" si="21"/>
        <v>994.77049293574123</v>
      </c>
      <c r="AB47" s="907">
        <f t="shared" si="21"/>
        <v>1034.9871701457046</v>
      </c>
      <c r="AC47" s="907">
        <f t="shared" si="21"/>
        <v>1074.9965836315664</v>
      </c>
      <c r="AD47" s="907">
        <f>SUM(AD45:AD46)</f>
        <v>0</v>
      </c>
      <c r="AE47" s="907">
        <f>SUM(AE45:AE46)</f>
        <v>0</v>
      </c>
      <c r="AF47" s="907">
        <f>SUM(AF45:AF46)</f>
        <v>0</v>
      </c>
      <c r="AG47" s="907">
        <f>SUM(AG45:AG46)</f>
        <v>0</v>
      </c>
      <c r="AH47" s="907">
        <f>SUM(AH45:AH46)</f>
        <v>0</v>
      </c>
    </row>
    <row r="48" spans="3:34" x14ac:dyDescent="0.3">
      <c r="J48" s="907"/>
      <c r="K48" s="907"/>
      <c r="L48" s="907"/>
      <c r="M48" s="907"/>
      <c r="N48" s="907"/>
      <c r="O48" s="907"/>
      <c r="P48" s="907"/>
      <c r="Q48" s="907"/>
      <c r="R48" s="907"/>
      <c r="S48" s="907"/>
      <c r="T48" s="907"/>
      <c r="U48" s="907"/>
      <c r="V48" s="907"/>
      <c r="W48" s="907"/>
      <c r="X48" s="907"/>
      <c r="Y48" s="907"/>
      <c r="Z48" s="907"/>
      <c r="AA48" s="907"/>
      <c r="AB48" s="907"/>
      <c r="AC48" s="907"/>
      <c r="AD48" s="907"/>
      <c r="AE48" s="907"/>
      <c r="AF48" s="907"/>
      <c r="AG48" s="907"/>
      <c r="AH48" s="907"/>
    </row>
    <row r="49" spans="2:34" x14ac:dyDescent="0.3">
      <c r="C49" s="72" t="s">
        <v>386</v>
      </c>
      <c r="D49" s="72" t="s">
        <v>404</v>
      </c>
      <c r="J49" s="907">
        <f>J37</f>
        <v>2020.9135790903977</v>
      </c>
      <c r="K49" s="907">
        <f t="shared" ref="K49:AC49" si="22">K37</f>
        <v>-11.896165336063859</v>
      </c>
      <c r="L49" s="907">
        <f t="shared" si="22"/>
        <v>-133.34451877682727</v>
      </c>
      <c r="M49" s="907">
        <f t="shared" si="22"/>
        <v>-99.496564621346749</v>
      </c>
      <c r="N49" s="907">
        <f t="shared" si="22"/>
        <v>-56.230977118000169</v>
      </c>
      <c r="O49" s="907">
        <f t="shared" si="22"/>
        <v>-38.413402397284017</v>
      </c>
      <c r="P49" s="907">
        <f t="shared" si="22"/>
        <v>-20.756049276567751</v>
      </c>
      <c r="Q49" s="907">
        <f t="shared" si="22"/>
        <v>-3.2621221878516735</v>
      </c>
      <c r="R49" s="907">
        <f t="shared" si="22"/>
        <v>14.065110348224607</v>
      </c>
      <c r="S49" s="907">
        <f t="shared" si="22"/>
        <v>31.222314440607988</v>
      </c>
      <c r="T49" s="907">
        <f t="shared" si="22"/>
        <v>80.573718091662954</v>
      </c>
      <c r="U49" s="907">
        <f t="shared" si="22"/>
        <v>129.74822414990012</v>
      </c>
      <c r="V49" s="907">
        <f t="shared" si="22"/>
        <v>178.74229466346287</v>
      </c>
      <c r="W49" s="907">
        <f t="shared" si="22"/>
        <v>227.55232092145775</v>
      </c>
      <c r="X49" s="907">
        <f t="shared" si="22"/>
        <v>276.17462203877346</v>
      </c>
      <c r="Y49" s="907">
        <f t="shared" si="22"/>
        <v>316.98902363570107</v>
      </c>
      <c r="Z49" s="907">
        <f t="shared" si="22"/>
        <v>357.60811599626629</v>
      </c>
      <c r="AA49" s="907">
        <f t="shared" si="22"/>
        <v>398.02799293574117</v>
      </c>
      <c r="AB49" s="907">
        <f t="shared" si="22"/>
        <v>438.2446701457045</v>
      </c>
      <c r="AC49" s="907">
        <f t="shared" si="22"/>
        <v>478.25408363156635</v>
      </c>
      <c r="AD49" s="907">
        <f>AD37</f>
        <v>0</v>
      </c>
      <c r="AE49" s="907">
        <f>AE37</f>
        <v>0</v>
      </c>
      <c r="AF49" s="907">
        <f>AF37</f>
        <v>0</v>
      </c>
      <c r="AG49" s="907">
        <f>AG37</f>
        <v>0</v>
      </c>
      <c r="AH49" s="907">
        <f>AH37</f>
        <v>0</v>
      </c>
    </row>
    <row r="50" spans="2:34" x14ac:dyDescent="0.3">
      <c r="C50" s="72" t="s">
        <v>386</v>
      </c>
      <c r="D50" s="72" t="s">
        <v>410</v>
      </c>
      <c r="J50" s="907">
        <f>J42</f>
        <v>0</v>
      </c>
      <c r="K50" s="907">
        <f t="shared" ref="K50:AC50" si="23">K42</f>
        <v>0</v>
      </c>
      <c r="L50" s="907">
        <f t="shared" si="23"/>
        <v>-11.896165336063859</v>
      </c>
      <c r="M50" s="907">
        <f t="shared" si="23"/>
        <v>-145.24068411289113</v>
      </c>
      <c r="N50" s="907">
        <f t="shared" si="23"/>
        <v>-244.73724873423788</v>
      </c>
      <c r="O50" s="907">
        <f t="shared" si="23"/>
        <v>-300.96822585223805</v>
      </c>
      <c r="P50" s="907">
        <f t="shared" si="23"/>
        <v>-339.38162824952207</v>
      </c>
      <c r="Q50" s="907">
        <f t="shared" si="23"/>
        <v>-360.13767752608982</v>
      </c>
      <c r="R50" s="907">
        <f t="shared" si="23"/>
        <v>-363.39979971394149</v>
      </c>
      <c r="S50" s="907">
        <f t="shared" si="23"/>
        <v>-349.33468936571688</v>
      </c>
      <c r="T50" s="907">
        <f t="shared" si="23"/>
        <v>-318.1123749251089</v>
      </c>
      <c r="U50" s="907">
        <f t="shared" si="23"/>
        <v>-237.53865683344594</v>
      </c>
      <c r="V50" s="907">
        <f t="shared" si="23"/>
        <v>-107.79043268354582</v>
      </c>
      <c r="W50" s="907">
        <f t="shared" si="23"/>
        <v>0</v>
      </c>
      <c r="X50" s="907">
        <f t="shared" si="23"/>
        <v>0</v>
      </c>
      <c r="Y50" s="907">
        <f t="shared" si="23"/>
        <v>0</v>
      </c>
      <c r="Z50" s="907">
        <f t="shared" si="23"/>
        <v>0</v>
      </c>
      <c r="AA50" s="907">
        <f t="shared" si="23"/>
        <v>0</v>
      </c>
      <c r="AB50" s="907">
        <f t="shared" si="23"/>
        <v>0</v>
      </c>
      <c r="AC50" s="907">
        <f t="shared" si="23"/>
        <v>0</v>
      </c>
      <c r="AD50" s="907">
        <f>AD42</f>
        <v>0</v>
      </c>
      <c r="AE50" s="907">
        <f>AE42</f>
        <v>0</v>
      </c>
      <c r="AF50" s="907">
        <f>AF42</f>
        <v>0</v>
      </c>
      <c r="AG50" s="907">
        <f>AG42</f>
        <v>0</v>
      </c>
      <c r="AH50" s="907">
        <f>AH42</f>
        <v>0</v>
      </c>
    </row>
    <row r="51" spans="2:34" x14ac:dyDescent="0.3">
      <c r="D51" s="72" t="s">
        <v>411</v>
      </c>
      <c r="I51" s="277">
        <v>0</v>
      </c>
      <c r="J51" s="907">
        <f>SUM(J49:J50)</f>
        <v>2020.9135790903977</v>
      </c>
      <c r="K51" s="907">
        <f t="shared" ref="K51:AC51" si="24">SUM(K49:K50)</f>
        <v>-11.896165336063859</v>
      </c>
      <c r="L51" s="907">
        <f t="shared" si="24"/>
        <v>-145.24068411289113</v>
      </c>
      <c r="M51" s="907">
        <f t="shared" si="24"/>
        <v>-244.73724873423788</v>
      </c>
      <c r="N51" s="907">
        <f t="shared" si="24"/>
        <v>-300.96822585223805</v>
      </c>
      <c r="O51" s="907">
        <f t="shared" si="24"/>
        <v>-339.38162824952207</v>
      </c>
      <c r="P51" s="907">
        <f t="shared" si="24"/>
        <v>-360.13767752608982</v>
      </c>
      <c r="Q51" s="907">
        <f t="shared" si="24"/>
        <v>-363.39979971394149</v>
      </c>
      <c r="R51" s="907">
        <f t="shared" si="24"/>
        <v>-349.33468936571688</v>
      </c>
      <c r="S51" s="907">
        <f t="shared" si="24"/>
        <v>-318.1123749251089</v>
      </c>
      <c r="T51" s="907">
        <f t="shared" si="24"/>
        <v>-237.53865683344594</v>
      </c>
      <c r="U51" s="907">
        <f t="shared" si="24"/>
        <v>-107.79043268354582</v>
      </c>
      <c r="V51" s="907">
        <f t="shared" si="24"/>
        <v>70.951861979917055</v>
      </c>
      <c r="W51" s="907">
        <f t="shared" si="24"/>
        <v>227.55232092145775</v>
      </c>
      <c r="X51" s="907">
        <f t="shared" si="24"/>
        <v>276.17462203877346</v>
      </c>
      <c r="Y51" s="907">
        <f t="shared" si="24"/>
        <v>316.98902363570107</v>
      </c>
      <c r="Z51" s="907">
        <f t="shared" si="24"/>
        <v>357.60811599626629</v>
      </c>
      <c r="AA51" s="907">
        <f t="shared" si="24"/>
        <v>398.02799293574117</v>
      </c>
      <c r="AB51" s="907">
        <f t="shared" si="24"/>
        <v>438.2446701457045</v>
      </c>
      <c r="AC51" s="907">
        <f t="shared" si="24"/>
        <v>478.25408363156635</v>
      </c>
      <c r="AD51" s="907">
        <f>SUM(AD49:AD50)</f>
        <v>0</v>
      </c>
      <c r="AE51" s="907">
        <f>SUM(AE49:AE50)</f>
        <v>0</v>
      </c>
      <c r="AF51" s="907">
        <f>SUM(AF49:AF50)</f>
        <v>0</v>
      </c>
      <c r="AG51" s="907">
        <f>SUM(AG49:AG50)</f>
        <v>0</v>
      </c>
      <c r="AH51" s="907">
        <f>SUM(AH49:AH50)</f>
        <v>0</v>
      </c>
    </row>
    <row r="52" spans="2:34" x14ac:dyDescent="0.3">
      <c r="J52" s="907"/>
    </row>
    <row r="53" spans="2:34" x14ac:dyDescent="0.3">
      <c r="C53" s="72" t="s">
        <v>412</v>
      </c>
      <c r="J53" s="907"/>
    </row>
    <row r="54" spans="2:34" x14ac:dyDescent="0.3">
      <c r="C54" s="72" t="s">
        <v>386</v>
      </c>
      <c r="D54" s="72" t="s">
        <v>342</v>
      </c>
      <c r="J54" s="907">
        <f>IF(J47&lt;0,0,J47*'Fin Inputs'!$AC$41)</f>
        <v>266.80855912144131</v>
      </c>
      <c r="K54" s="907">
        <f>IF(K47&lt;0,0,K47*'Fin Inputs'!$AC$41)</f>
        <v>0</v>
      </c>
      <c r="L54" s="907">
        <f>IF(L47&lt;0,0,L47*'Fin Inputs'!$AC$41)</f>
        <v>0</v>
      </c>
      <c r="M54" s="907">
        <f>IF(M47&lt;0,0,M47*'Fin Inputs'!$AC$41)</f>
        <v>0</v>
      </c>
      <c r="N54" s="907">
        <f>IF(N47&lt;0,0,N47*'Fin Inputs'!$AC$41)</f>
        <v>0</v>
      </c>
      <c r="O54" s="907">
        <f>IF(O47&lt;0,0,O47*'Fin Inputs'!$AC$41)</f>
        <v>0</v>
      </c>
      <c r="P54" s="907">
        <f>IF(P47&lt;0,0,P47*'Fin Inputs'!$AC$41)</f>
        <v>0</v>
      </c>
      <c r="Q54" s="907">
        <f>IF(Q47&lt;0,0,Q47*'Fin Inputs'!$AC$41)</f>
        <v>0</v>
      </c>
      <c r="R54" s="907">
        <f>IF(R47&lt;0,0,R47*'Fin Inputs'!$AC$41)</f>
        <v>0</v>
      </c>
      <c r="S54" s="907">
        <f>IF(S47&lt;0,0,S47*'Fin Inputs'!$AC$41)</f>
        <v>0</v>
      </c>
      <c r="T54" s="907">
        <f>IF(T47&lt;0,0,T47*'Fin Inputs'!$AC$41)</f>
        <v>0</v>
      </c>
      <c r="U54" s="907">
        <f>IF(U47&lt;0,0,U47*'Fin Inputs'!$AC$41)</f>
        <v>0</v>
      </c>
      <c r="V54" s="907">
        <f>IF(V47&lt;0,0,V47*'Fin Inputs'!$AC$41)</f>
        <v>0</v>
      </c>
      <c r="W54" s="907">
        <f>IF(W47&lt;0,0,W47*'Fin Inputs'!$AC$41)</f>
        <v>0</v>
      </c>
      <c r="X54" s="907">
        <f>IF(X47&lt;0,0,X47*'Fin Inputs'!$AC$41)</f>
        <v>0</v>
      </c>
      <c r="Y54" s="907">
        <f>IF(Y47&lt;0,0,Y47*'Fin Inputs'!$AC$41)</f>
        <v>0</v>
      </c>
      <c r="Z54" s="907">
        <f>IF(Z47&lt;0,0,Z47*'Fin Inputs'!$AC$41)</f>
        <v>166.08033279984403</v>
      </c>
      <c r="AA54" s="907">
        <f>IF(AA47&lt;0,0,AA47*'Fin Inputs'!$AC$41)</f>
        <v>290.97036918370429</v>
      </c>
      <c r="AB54" s="907">
        <f>IF(AB47&lt;0,0,AB47*'Fin Inputs'!$AC$41)</f>
        <v>302.73374726761858</v>
      </c>
      <c r="AC54" s="907">
        <f>IF(AC47&lt;0,0,AC47*'Fin Inputs'!$AC$41)</f>
        <v>314.43650071223317</v>
      </c>
      <c r="AD54" s="907">
        <f>IF(AD47&lt;0,0,AD47*'Fin Inputs'!$AC$41)</f>
        <v>0</v>
      </c>
      <c r="AE54" s="907">
        <f>IF(AE47&lt;0,0,AE47*'Fin Inputs'!$AC$41)</f>
        <v>0</v>
      </c>
      <c r="AF54" s="907">
        <f>IF(AF47&lt;0,0,AF47*'Fin Inputs'!$AC$41)</f>
        <v>0</v>
      </c>
      <c r="AG54" s="907">
        <f>IF(AG47&lt;0,0,AG47*'Fin Inputs'!$AC$41)</f>
        <v>0</v>
      </c>
      <c r="AH54" s="907">
        <f>IF(AH47&lt;0,0,AH47*'Fin Inputs'!$AC$41)</f>
        <v>0</v>
      </c>
    </row>
    <row r="55" spans="2:34" x14ac:dyDescent="0.3">
      <c r="C55" s="72" t="s">
        <v>386</v>
      </c>
      <c r="D55" s="72" t="s">
        <v>411</v>
      </c>
      <c r="J55" s="907">
        <f>IF(J51&lt;0,0,J51*'Fin Inputs'!$AC$41)</f>
        <v>591.11722188394128</v>
      </c>
      <c r="K55" s="907">
        <f>IF(K51&lt;0,0,K51*'Fin Inputs'!$AC$41)</f>
        <v>0</v>
      </c>
      <c r="L55" s="907">
        <f>IF(L51&lt;0,0,L51*'Fin Inputs'!$AC$41)</f>
        <v>0</v>
      </c>
      <c r="M55" s="907">
        <f>IF(M51&lt;0,0,M51*'Fin Inputs'!$AC$41)</f>
        <v>0</v>
      </c>
      <c r="N55" s="907">
        <f>IF(N51&lt;0,0,N51*'Fin Inputs'!$AC$41)</f>
        <v>0</v>
      </c>
      <c r="O55" s="907">
        <f>IF(O51&lt;0,0,O51*'Fin Inputs'!$AC$41)</f>
        <v>0</v>
      </c>
      <c r="P55" s="907">
        <f>IF(P51&lt;0,0,P51*'Fin Inputs'!$AC$41)</f>
        <v>0</v>
      </c>
      <c r="Q55" s="907">
        <f>IF(Q51&lt;0,0,Q51*'Fin Inputs'!$AC$41)</f>
        <v>0</v>
      </c>
      <c r="R55" s="907">
        <f>IF(R51&lt;0,0,R51*'Fin Inputs'!$AC$41)</f>
        <v>0</v>
      </c>
      <c r="S55" s="907">
        <f>IF(S51&lt;0,0,S51*'Fin Inputs'!$AC$41)</f>
        <v>0</v>
      </c>
      <c r="T55" s="907">
        <f>IF(T51&lt;0,0,T51*'Fin Inputs'!$AC$41)</f>
        <v>0</v>
      </c>
      <c r="U55" s="907">
        <f>IF(U51&lt;0,0,U51*'Fin Inputs'!$AC$41)</f>
        <v>0</v>
      </c>
      <c r="V55" s="907">
        <f>IF(V51&lt;0,0,V51*'Fin Inputs'!$AC$41)</f>
        <v>20.753419629125737</v>
      </c>
      <c r="W55" s="907">
        <f>IF(W51&lt;0,0,W51*'Fin Inputs'!$AC$41)</f>
        <v>66.559053869526394</v>
      </c>
      <c r="X55" s="907">
        <f>IF(X51&lt;0,0,X51*'Fin Inputs'!$AC$41)</f>
        <v>80.78107694634123</v>
      </c>
      <c r="Y55" s="907">
        <f>IF(Y51&lt;0,0,Y51*'Fin Inputs'!$AC$41)</f>
        <v>92.719289413442553</v>
      </c>
      <c r="Z55" s="907">
        <f>IF(Z51&lt;0,0,Z51*'Fin Inputs'!$AC$41)</f>
        <v>104.60037392890789</v>
      </c>
      <c r="AA55" s="907">
        <f>IF(AA51&lt;0,0,AA51*'Fin Inputs'!$AC$41)</f>
        <v>116.42318793370428</v>
      </c>
      <c r="AB55" s="907">
        <f>IF(AB51&lt;0,0,AB51*'Fin Inputs'!$AC$41)</f>
        <v>128.18656601761856</v>
      </c>
      <c r="AC55" s="907">
        <f>IF(AC51&lt;0,0,AC51*'Fin Inputs'!$AC$41)</f>
        <v>139.88931946223315</v>
      </c>
      <c r="AD55" s="907">
        <f>IF(AD51&lt;0,0,AD51*'Fin Inputs'!$AC$41)</f>
        <v>0</v>
      </c>
      <c r="AE55" s="907">
        <f>IF(AE51&lt;0,0,AE51*'Fin Inputs'!$AC$41)</f>
        <v>0</v>
      </c>
      <c r="AF55" s="907">
        <f>IF(AF51&lt;0,0,AF51*'Fin Inputs'!$AC$41)</f>
        <v>0</v>
      </c>
      <c r="AG55" s="907">
        <f>IF(AG51&lt;0,0,AG51*'Fin Inputs'!$AC$41)</f>
        <v>0</v>
      </c>
      <c r="AH55" s="907">
        <f>IF(AH51&lt;0,0,AH51*'Fin Inputs'!$AC$41)</f>
        <v>0</v>
      </c>
    </row>
    <row r="56" spans="2:34" x14ac:dyDescent="0.3">
      <c r="D56" s="72" t="s">
        <v>413</v>
      </c>
      <c r="I56" s="278">
        <v>0</v>
      </c>
      <c r="J56" s="907">
        <f>J55-J54</f>
        <v>324.30866276249998</v>
      </c>
      <c r="K56" s="907">
        <f t="shared" ref="K56:AC56" si="25">K55-K54</f>
        <v>0</v>
      </c>
      <c r="L56" s="907">
        <f t="shared" si="25"/>
        <v>0</v>
      </c>
      <c r="M56" s="907">
        <f t="shared" si="25"/>
        <v>0</v>
      </c>
      <c r="N56" s="907">
        <f t="shared" si="25"/>
        <v>0</v>
      </c>
      <c r="O56" s="907">
        <f t="shared" si="25"/>
        <v>0</v>
      </c>
      <c r="P56" s="907">
        <f t="shared" si="25"/>
        <v>0</v>
      </c>
      <c r="Q56" s="907">
        <f t="shared" si="25"/>
        <v>0</v>
      </c>
      <c r="R56" s="907">
        <f t="shared" si="25"/>
        <v>0</v>
      </c>
      <c r="S56" s="907">
        <f t="shared" si="25"/>
        <v>0</v>
      </c>
      <c r="T56" s="907">
        <f t="shared" si="25"/>
        <v>0</v>
      </c>
      <c r="U56" s="907">
        <f t="shared" si="25"/>
        <v>0</v>
      </c>
      <c r="V56" s="907">
        <f t="shared" si="25"/>
        <v>20.753419629125737</v>
      </c>
      <c r="W56" s="907">
        <f t="shared" si="25"/>
        <v>66.559053869526394</v>
      </c>
      <c r="X56" s="907">
        <f t="shared" si="25"/>
        <v>80.78107694634123</v>
      </c>
      <c r="Y56" s="907">
        <f t="shared" si="25"/>
        <v>92.719289413442553</v>
      </c>
      <c r="Z56" s="907">
        <f t="shared" si="25"/>
        <v>-61.479958870936144</v>
      </c>
      <c r="AA56" s="907">
        <f t="shared" si="25"/>
        <v>-174.54718124999999</v>
      </c>
      <c r="AB56" s="907">
        <f t="shared" si="25"/>
        <v>-174.54718125000002</v>
      </c>
      <c r="AC56" s="907">
        <f t="shared" si="25"/>
        <v>-174.54718125000002</v>
      </c>
      <c r="AD56" s="907">
        <f>AD55-AD54</f>
        <v>0</v>
      </c>
      <c r="AE56" s="907">
        <f>AE55-AE54</f>
        <v>0</v>
      </c>
      <c r="AF56" s="907">
        <f>AF55-AF54</f>
        <v>0</v>
      </c>
      <c r="AG56" s="907">
        <f>AG55-AG54</f>
        <v>0</v>
      </c>
      <c r="AH56" s="907">
        <f>AH55-AH54</f>
        <v>0</v>
      </c>
    </row>
    <row r="57" spans="2:34" x14ac:dyDescent="0.3">
      <c r="D57" s="72" t="s">
        <v>414</v>
      </c>
      <c r="E57" s="189"/>
      <c r="F57" s="189"/>
      <c r="G57" s="189"/>
      <c r="H57" s="189"/>
      <c r="I57" s="189"/>
      <c r="J57" s="187">
        <f>SUM($I$56:J56)</f>
        <v>324.30866276249998</v>
      </c>
      <c r="K57" s="187">
        <f>SUM($I$56:K56)</f>
        <v>324.30866276249998</v>
      </c>
      <c r="L57" s="187">
        <f>SUM($I$56:L56)</f>
        <v>324.30866276249998</v>
      </c>
      <c r="M57" s="187">
        <f>SUM($I$56:M56)</f>
        <v>324.30866276249998</v>
      </c>
      <c r="N57" s="187">
        <f>SUM($I$56:N56)</f>
        <v>324.30866276249998</v>
      </c>
      <c r="O57" s="187">
        <f>SUM($I$56:O56)</f>
        <v>324.30866276249998</v>
      </c>
      <c r="P57" s="187">
        <f>SUM($I$56:P56)</f>
        <v>324.30866276249998</v>
      </c>
      <c r="Q57" s="187">
        <f>SUM($I$56:Q56)</f>
        <v>324.30866276249998</v>
      </c>
      <c r="R57" s="187">
        <f>SUM($I$56:R56)</f>
        <v>324.30866276249998</v>
      </c>
      <c r="S57" s="187">
        <f>SUM($I$56:S56)</f>
        <v>324.30866276249998</v>
      </c>
      <c r="T57" s="187">
        <f>SUM($I$56:T56)</f>
        <v>324.30866276249998</v>
      </c>
      <c r="U57" s="187">
        <f>SUM($I$56:U56)</f>
        <v>324.30866276249998</v>
      </c>
      <c r="V57" s="187">
        <f>SUM($I$56:V56)</f>
        <v>345.06208239162572</v>
      </c>
      <c r="W57" s="187">
        <f>SUM($I$56:W56)</f>
        <v>411.62113626115212</v>
      </c>
      <c r="X57" s="187">
        <f>SUM($I$56:X56)</f>
        <v>492.40221320749333</v>
      </c>
      <c r="Y57" s="187">
        <f>SUM($I$56:Y56)</f>
        <v>585.12150262093587</v>
      </c>
      <c r="Z57" s="187">
        <f>SUM($I$56:Z56)</f>
        <v>523.64154374999976</v>
      </c>
      <c r="AA57" s="187">
        <f>SUM($I$56:AA56)</f>
        <v>349.09436249999976</v>
      </c>
      <c r="AB57" s="187">
        <f>SUM($I$56:AB56)</f>
        <v>174.54718124999974</v>
      </c>
      <c r="AC57" s="187">
        <f>SUM($I$56:AC56)</f>
        <v>-2.8421709430404007E-13</v>
      </c>
      <c r="AD57" s="187">
        <f>SUM($I$56:AD56)</f>
        <v>-2.8421709430404007E-13</v>
      </c>
      <c r="AE57" s="187">
        <f>SUM($I$56:AE56)</f>
        <v>-2.8421709430404007E-13</v>
      </c>
      <c r="AF57" s="187">
        <f>SUM($I$56:AF56)</f>
        <v>-2.8421709430404007E-13</v>
      </c>
      <c r="AG57" s="187">
        <f>SUM($I$56:AG56)</f>
        <v>-2.8421709430404007E-13</v>
      </c>
      <c r="AH57" s="187">
        <f>SUM($I$56:AH56)</f>
        <v>-2.8421709430404007E-13</v>
      </c>
    </row>
    <row r="59" spans="2:34" ht="15" thickBot="1" x14ac:dyDescent="0.35">
      <c r="B59" s="81" t="s">
        <v>415</v>
      </c>
      <c r="C59" s="262"/>
      <c r="D59" s="83"/>
      <c r="E59" s="83"/>
      <c r="F59" s="83"/>
      <c r="G59" s="83"/>
      <c r="H59" s="83"/>
      <c r="I59" s="83"/>
      <c r="J59" s="83"/>
      <c r="K59" s="83"/>
      <c r="L59" s="83"/>
      <c r="M59" s="83"/>
      <c r="N59" s="83"/>
      <c r="O59" s="83"/>
      <c r="P59" s="83"/>
      <c r="Q59" s="83"/>
      <c r="R59" s="83"/>
      <c r="S59" s="83"/>
      <c r="T59" s="83"/>
      <c r="U59" s="83"/>
      <c r="V59" s="83"/>
      <c r="W59" s="263"/>
      <c r="X59" s="263"/>
      <c r="Y59" s="263"/>
      <c r="Z59" s="263"/>
      <c r="AA59" s="263"/>
      <c r="AB59" s="263"/>
      <c r="AC59" s="263"/>
      <c r="AD59" s="263"/>
      <c r="AE59" s="263"/>
      <c r="AF59" s="263"/>
      <c r="AG59" s="263"/>
      <c r="AH59" s="263"/>
    </row>
    <row r="61" spans="2:34" x14ac:dyDescent="0.3">
      <c r="C61" s="72" t="s">
        <v>416</v>
      </c>
    </row>
    <row r="62" spans="2:34" x14ac:dyDescent="0.3">
      <c r="D62" s="72" t="s">
        <v>417</v>
      </c>
      <c r="E62" s="72">
        <f>'Fin Inputs'!AC38</f>
        <v>30</v>
      </c>
    </row>
    <row r="63" spans="2:34" x14ac:dyDescent="0.3">
      <c r="D63" s="72" t="s">
        <v>418</v>
      </c>
      <c r="E63" s="913">
        <v>365</v>
      </c>
    </row>
    <row r="64" spans="2:34" x14ac:dyDescent="0.3">
      <c r="D64" s="72" t="s">
        <v>286</v>
      </c>
      <c r="J64" s="278">
        <f>'Rev&amp;Exp'!G$34</f>
        <v>3002.6560790903977</v>
      </c>
      <c r="K64" s="278">
        <f>'Rev&amp;Exp'!H$34</f>
        <v>969.8463346639362</v>
      </c>
      <c r="L64" s="278">
        <f>'Rev&amp;Exp'!I$34</f>
        <v>848.39798122317279</v>
      </c>
      <c r="M64" s="278">
        <f>'Rev&amp;Exp'!J$34</f>
        <v>889.9459353786533</v>
      </c>
      <c r="N64" s="278">
        <f>'Rev&amp;Exp'!K$34</f>
        <v>941.06552288199987</v>
      </c>
      <c r="O64" s="278">
        <f>'Rev&amp;Exp'!L$34</f>
        <v>966.89417760271601</v>
      </c>
      <c r="P64" s="278">
        <f>'Rev&amp;Exp'!M$34</f>
        <v>992.72283232343227</v>
      </c>
      <c r="Q64" s="278">
        <f>'Rev&amp;Exp'!N$34</f>
        <v>1018.5514870441484</v>
      </c>
      <c r="R64" s="278">
        <f>'Rev&amp;Exp'!O$34</f>
        <v>1044.3801417648647</v>
      </c>
      <c r="S64" s="278">
        <f>'Rev&amp;Exp'!P$34</f>
        <v>1070.2087964855809</v>
      </c>
      <c r="T64" s="278">
        <f>'Rev&amp;Exp'!Q$34</f>
        <v>1128.4050797775353</v>
      </c>
      <c r="U64" s="278">
        <f>'Rev&amp;Exp'!R$34</f>
        <v>1186.6013630694899</v>
      </c>
      <c r="V64" s="278">
        <f>'Rev&amp;Exp'!S$34</f>
        <v>1244.7976463614445</v>
      </c>
      <c r="W64" s="278">
        <f>'Rev&amp;Exp'!T$34</f>
        <v>1302.9939296533989</v>
      </c>
      <c r="X64" s="278">
        <f>'Rev&amp;Exp'!U$34</f>
        <v>1361.1902129453536</v>
      </c>
      <c r="Y64" s="278">
        <f>'Rev&amp;Exp'!V$34</f>
        <v>1411.7700763604128</v>
      </c>
      <c r="Z64" s="278">
        <f>'Rev&amp;Exp'!W$34</f>
        <v>1462.3499397754722</v>
      </c>
      <c r="AA64" s="278">
        <f>'Rev&amp;Exp'!X$34</f>
        <v>1512.9298031905312</v>
      </c>
      <c r="AB64" s="278">
        <f>'Rev&amp;Exp'!Y$34</f>
        <v>1563.5096666055904</v>
      </c>
      <c r="AC64" s="278">
        <f>'Rev&amp;Exp'!Z$34</f>
        <v>1614.0895300206498</v>
      </c>
      <c r="AD64" s="278">
        <f>'Rev&amp;Exp'!AA$34</f>
        <v>0</v>
      </c>
      <c r="AE64" s="278">
        <f>'Rev&amp;Exp'!AB$34</f>
        <v>0</v>
      </c>
      <c r="AF64" s="278">
        <f>'Rev&amp;Exp'!AC$34</f>
        <v>0</v>
      </c>
      <c r="AG64" s="278">
        <f>'Rev&amp;Exp'!AD$34</f>
        <v>0</v>
      </c>
      <c r="AH64" s="278">
        <f>'Rev&amp;Exp'!AE$34</f>
        <v>0</v>
      </c>
    </row>
    <row r="65" spans="3:34" x14ac:dyDescent="0.3">
      <c r="D65" s="72" t="s">
        <v>419</v>
      </c>
      <c r="J65" s="278">
        <f>($E$62/$E$63)*J64</f>
        <v>246.79365033619706</v>
      </c>
      <c r="K65" s="278">
        <f t="shared" ref="K65:AC65" si="26">($E$62/$E$63)*K64</f>
        <v>79.713397369638585</v>
      </c>
      <c r="L65" s="278">
        <f t="shared" si="26"/>
        <v>69.73134092245256</v>
      </c>
      <c r="M65" s="278">
        <f t="shared" si="26"/>
        <v>73.146241263998903</v>
      </c>
      <c r="N65" s="278">
        <f t="shared" si="26"/>
        <v>77.347851195780805</v>
      </c>
      <c r="O65" s="278">
        <f t="shared" si="26"/>
        <v>79.470754323510903</v>
      </c>
      <c r="P65" s="278">
        <f t="shared" si="26"/>
        <v>81.593657451241</v>
      </c>
      <c r="Q65" s="278">
        <f t="shared" si="26"/>
        <v>83.716560578971098</v>
      </c>
      <c r="R65" s="278">
        <f t="shared" si="26"/>
        <v>85.839463706701196</v>
      </c>
      <c r="S65" s="278">
        <f t="shared" si="26"/>
        <v>87.962366834431307</v>
      </c>
      <c r="T65" s="278">
        <f t="shared" si="26"/>
        <v>92.745622995413854</v>
      </c>
      <c r="U65" s="278">
        <f t="shared" si="26"/>
        <v>97.528879156396428</v>
      </c>
      <c r="V65" s="278">
        <f t="shared" si="26"/>
        <v>102.312135317379</v>
      </c>
      <c r="W65" s="278">
        <f t="shared" si="26"/>
        <v>107.09539147836155</v>
      </c>
      <c r="X65" s="278">
        <f t="shared" si="26"/>
        <v>111.87864763934412</v>
      </c>
      <c r="Y65" s="278">
        <f t="shared" si="26"/>
        <v>116.03589668715721</v>
      </c>
      <c r="Z65" s="278">
        <f t="shared" si="26"/>
        <v>120.19314573497032</v>
      </c>
      <c r="AA65" s="278">
        <f t="shared" si="26"/>
        <v>124.35039478278338</v>
      </c>
      <c r="AB65" s="278">
        <f t="shared" si="26"/>
        <v>128.50764383059646</v>
      </c>
      <c r="AC65" s="278">
        <f t="shared" si="26"/>
        <v>132.66489287840957</v>
      </c>
      <c r="AD65" s="278">
        <f>($E$62/$E$63)*AD64</f>
        <v>0</v>
      </c>
      <c r="AE65" s="278">
        <f>($E$62/$E$63)*AE64</f>
        <v>0</v>
      </c>
      <c r="AF65" s="278">
        <f>($E$62/$E$63)*AF64</f>
        <v>0</v>
      </c>
      <c r="AG65" s="278">
        <f>($E$62/$E$63)*AG64</f>
        <v>0</v>
      </c>
      <c r="AH65" s="278">
        <f>($E$62/$E$63)*AH64</f>
        <v>0</v>
      </c>
    </row>
    <row r="66" spans="3:34" x14ac:dyDescent="0.3">
      <c r="D66" s="72" t="s">
        <v>420</v>
      </c>
      <c r="J66" s="914">
        <v>0</v>
      </c>
      <c r="K66" s="914">
        <v>0</v>
      </c>
      <c r="L66" s="914">
        <v>0</v>
      </c>
      <c r="M66" s="914">
        <v>0</v>
      </c>
      <c r="N66" s="914">
        <v>0</v>
      </c>
      <c r="O66" s="914">
        <v>0</v>
      </c>
      <c r="P66" s="914">
        <v>0</v>
      </c>
      <c r="Q66" s="914">
        <v>0</v>
      </c>
      <c r="R66" s="914">
        <v>0</v>
      </c>
      <c r="S66" s="914">
        <v>0</v>
      </c>
      <c r="T66" s="914">
        <v>0</v>
      </c>
      <c r="U66" s="914">
        <v>0</v>
      </c>
      <c r="V66" s="914">
        <v>0</v>
      </c>
      <c r="W66" s="914">
        <v>0</v>
      </c>
      <c r="X66" s="914">
        <v>0</v>
      </c>
      <c r="Y66" s="914">
        <v>0</v>
      </c>
      <c r="Z66" s="914">
        <v>0</v>
      </c>
      <c r="AA66" s="914">
        <v>0</v>
      </c>
      <c r="AB66" s="914">
        <v>0</v>
      </c>
      <c r="AC66" s="914">
        <v>0</v>
      </c>
      <c r="AD66" s="914">
        <v>0</v>
      </c>
      <c r="AE66" s="914">
        <v>0</v>
      </c>
      <c r="AF66" s="914">
        <v>0</v>
      </c>
      <c r="AG66" s="914">
        <v>0</v>
      </c>
      <c r="AH66" s="914">
        <v>0</v>
      </c>
    </row>
    <row r="67" spans="3:34" x14ac:dyDescent="0.3">
      <c r="D67" s="71" t="s">
        <v>421</v>
      </c>
      <c r="I67" s="278">
        <v>0</v>
      </c>
      <c r="J67" s="915">
        <f>SUM(J65:J66)</f>
        <v>246.79365033619706</v>
      </c>
      <c r="K67" s="915">
        <f t="shared" ref="K67:AC67" si="27">SUM(K65:K66)</f>
        <v>79.713397369638585</v>
      </c>
      <c r="L67" s="915">
        <f t="shared" si="27"/>
        <v>69.73134092245256</v>
      </c>
      <c r="M67" s="915">
        <f t="shared" si="27"/>
        <v>73.146241263998903</v>
      </c>
      <c r="N67" s="915">
        <f t="shared" si="27"/>
        <v>77.347851195780805</v>
      </c>
      <c r="O67" s="915">
        <f t="shared" si="27"/>
        <v>79.470754323510903</v>
      </c>
      <c r="P67" s="915">
        <f t="shared" si="27"/>
        <v>81.593657451241</v>
      </c>
      <c r="Q67" s="915">
        <f t="shared" si="27"/>
        <v>83.716560578971098</v>
      </c>
      <c r="R67" s="915">
        <f t="shared" si="27"/>
        <v>85.839463706701196</v>
      </c>
      <c r="S67" s="915">
        <f t="shared" si="27"/>
        <v>87.962366834431307</v>
      </c>
      <c r="T67" s="915">
        <f t="shared" si="27"/>
        <v>92.745622995413854</v>
      </c>
      <c r="U67" s="915">
        <f t="shared" si="27"/>
        <v>97.528879156396428</v>
      </c>
      <c r="V67" s="915">
        <f t="shared" si="27"/>
        <v>102.312135317379</v>
      </c>
      <c r="W67" s="915">
        <f t="shared" si="27"/>
        <v>107.09539147836155</v>
      </c>
      <c r="X67" s="915">
        <f t="shared" si="27"/>
        <v>111.87864763934412</v>
      </c>
      <c r="Y67" s="915">
        <f t="shared" si="27"/>
        <v>116.03589668715721</v>
      </c>
      <c r="Z67" s="915">
        <f t="shared" si="27"/>
        <v>120.19314573497032</v>
      </c>
      <c r="AA67" s="915">
        <f t="shared" si="27"/>
        <v>124.35039478278338</v>
      </c>
      <c r="AB67" s="915">
        <f t="shared" si="27"/>
        <v>128.50764383059646</v>
      </c>
      <c r="AC67" s="915">
        <f t="shared" si="27"/>
        <v>132.66489287840957</v>
      </c>
      <c r="AD67" s="915">
        <f>SUM(AD65:AD66)</f>
        <v>0</v>
      </c>
      <c r="AE67" s="915">
        <f>SUM(AE65:AE66)</f>
        <v>0</v>
      </c>
      <c r="AF67" s="915">
        <f>SUM(AF65:AF66)</f>
        <v>0</v>
      </c>
      <c r="AG67" s="915">
        <f>SUM(AG65:AG66)</f>
        <v>0</v>
      </c>
      <c r="AH67" s="915">
        <f>SUM(AH65:AH66)</f>
        <v>0</v>
      </c>
    </row>
    <row r="69" spans="3:34" x14ac:dyDescent="0.3">
      <c r="C69" s="72" t="s">
        <v>422</v>
      </c>
    </row>
    <row r="70" spans="3:34" x14ac:dyDescent="0.3">
      <c r="D70" s="72" t="s">
        <v>423</v>
      </c>
      <c r="E70" s="72">
        <f>'Fin Inputs'!AC39</f>
        <v>30</v>
      </c>
    </row>
    <row r="71" spans="3:34" x14ac:dyDescent="0.3">
      <c r="D71" s="72" t="s">
        <v>424</v>
      </c>
      <c r="I71" s="274"/>
      <c r="J71" s="278">
        <f>-'Rev&amp;Exp'!G45</f>
        <v>385</v>
      </c>
      <c r="K71" s="278">
        <f>-'Rev&amp;Exp'!H45</f>
        <v>385</v>
      </c>
      <c r="L71" s="278">
        <f>-'Rev&amp;Exp'!I45</f>
        <v>385</v>
      </c>
      <c r="M71" s="278">
        <f>-'Rev&amp;Exp'!J45</f>
        <v>392.7</v>
      </c>
      <c r="N71" s="278">
        <f>-'Rev&amp;Exp'!K45</f>
        <v>400.55399999999997</v>
      </c>
      <c r="O71" s="278">
        <f>-'Rev&amp;Exp'!L45</f>
        <v>408.56507999999997</v>
      </c>
      <c r="P71" s="278">
        <f>-'Rev&amp;Exp'!M45</f>
        <v>416.73638159999996</v>
      </c>
      <c r="Q71" s="278">
        <f>-'Rev&amp;Exp'!N45</f>
        <v>425.07110923199997</v>
      </c>
      <c r="R71" s="278">
        <f>-'Rev&amp;Exp'!O45</f>
        <v>433.57253141664</v>
      </c>
      <c r="S71" s="278">
        <f>-'Rev&amp;Exp'!P45</f>
        <v>442.24398204497282</v>
      </c>
      <c r="T71" s="278">
        <f>-'Rev&amp;Exp'!Q45</f>
        <v>451.0888616858723</v>
      </c>
      <c r="U71" s="278">
        <f>-'Rev&amp;Exp'!R45</f>
        <v>460.11063891958975</v>
      </c>
      <c r="V71" s="278">
        <f>-'Rev&amp;Exp'!S45</f>
        <v>469.31285169798156</v>
      </c>
      <c r="W71" s="278">
        <f>-'Rev&amp;Exp'!T45</f>
        <v>478.69910873194118</v>
      </c>
      <c r="X71" s="278">
        <f>-'Rev&amp;Exp'!U45</f>
        <v>488.27309090658002</v>
      </c>
      <c r="Y71" s="278">
        <f>-'Rev&amp;Exp'!V45</f>
        <v>498.03855272471162</v>
      </c>
      <c r="Z71" s="278">
        <f>-'Rev&amp;Exp'!W45</f>
        <v>507.99932377920584</v>
      </c>
      <c r="AA71" s="278">
        <f>-'Rev&amp;Exp'!X45</f>
        <v>518.15931025478994</v>
      </c>
      <c r="AB71" s="278">
        <f>-'Rev&amp;Exp'!Y45</f>
        <v>528.5224964598857</v>
      </c>
      <c r="AC71" s="278">
        <f>-'Rev&amp;Exp'!Z45</f>
        <v>539.09294638908341</v>
      </c>
      <c r="AD71" s="278">
        <f>-'Rev&amp;Exp'!AA45</f>
        <v>0</v>
      </c>
      <c r="AE71" s="278">
        <f>-'Rev&amp;Exp'!AB45</f>
        <v>0</v>
      </c>
      <c r="AF71" s="278">
        <f>-'Rev&amp;Exp'!AC45</f>
        <v>0</v>
      </c>
      <c r="AG71" s="278">
        <f>-'Rev&amp;Exp'!AD45</f>
        <v>0</v>
      </c>
      <c r="AH71" s="278">
        <f>-'Rev&amp;Exp'!AE45</f>
        <v>0</v>
      </c>
    </row>
    <row r="72" spans="3:34" x14ac:dyDescent="0.3">
      <c r="D72" s="71" t="s">
        <v>425</v>
      </c>
      <c r="I72" s="274">
        <v>0</v>
      </c>
      <c r="J72" s="915">
        <f>($E$70/$E$63)*J71</f>
        <v>31.643835616438356</v>
      </c>
      <c r="K72" s="915">
        <f t="shared" ref="K72:AC72" si="28">($E$70/$E$63)*K71</f>
        <v>31.643835616438356</v>
      </c>
      <c r="L72" s="915">
        <f t="shared" si="28"/>
        <v>31.643835616438356</v>
      </c>
      <c r="M72" s="915">
        <f t="shared" si="28"/>
        <v>32.276712328767118</v>
      </c>
      <c r="N72" s="915">
        <f t="shared" si="28"/>
        <v>32.922246575342463</v>
      </c>
      <c r="O72" s="915">
        <f t="shared" si="28"/>
        <v>33.580691506849313</v>
      </c>
      <c r="P72" s="915">
        <f t="shared" si="28"/>
        <v>34.252305336986296</v>
      </c>
      <c r="Q72" s="915">
        <f t="shared" si="28"/>
        <v>34.937351443726023</v>
      </c>
      <c r="R72" s="915">
        <f t="shared" si="28"/>
        <v>35.636098472600544</v>
      </c>
      <c r="S72" s="915">
        <f t="shared" si="28"/>
        <v>36.348820442052556</v>
      </c>
      <c r="T72" s="915">
        <f t="shared" si="28"/>
        <v>37.07579685089361</v>
      </c>
      <c r="U72" s="915">
        <f t="shared" si="28"/>
        <v>37.817312787911483</v>
      </c>
      <c r="V72" s="915">
        <f t="shared" si="28"/>
        <v>38.573659043669714</v>
      </c>
      <c r="W72" s="915">
        <f t="shared" si="28"/>
        <v>39.345132224543107</v>
      </c>
      <c r="X72" s="915">
        <f t="shared" si="28"/>
        <v>40.132034869033973</v>
      </c>
      <c r="Y72" s="915">
        <f t="shared" si="28"/>
        <v>40.934675566414654</v>
      </c>
      <c r="Z72" s="915">
        <f t="shared" si="28"/>
        <v>41.753369077742946</v>
      </c>
      <c r="AA72" s="915">
        <f t="shared" si="28"/>
        <v>42.588436459297803</v>
      </c>
      <c r="AB72" s="915">
        <f t="shared" si="28"/>
        <v>43.440205188483752</v>
      </c>
      <c r="AC72" s="915">
        <f t="shared" si="28"/>
        <v>44.309009292253428</v>
      </c>
      <c r="AD72" s="915">
        <f>($E$70/$E$63)*AD71</f>
        <v>0</v>
      </c>
      <c r="AE72" s="915">
        <f>($E$70/$E$63)*AE71</f>
        <v>0</v>
      </c>
      <c r="AF72" s="915">
        <f>($E$70/$E$63)*AF71</f>
        <v>0</v>
      </c>
      <c r="AG72" s="915">
        <f>($E$70/$E$63)*AG71</f>
        <v>0</v>
      </c>
      <c r="AH72" s="915">
        <f>($E$70/$E$63)*AH71</f>
        <v>0</v>
      </c>
    </row>
    <row r="74" spans="3:34" x14ac:dyDescent="0.3">
      <c r="C74" s="72" t="s">
        <v>338</v>
      </c>
      <c r="I74" s="274">
        <v>0</v>
      </c>
      <c r="J74" s="914">
        <v>0</v>
      </c>
      <c r="K74" s="914">
        <v>0</v>
      </c>
      <c r="L74" s="914">
        <v>0</v>
      </c>
      <c r="M74" s="914">
        <v>0</v>
      </c>
      <c r="N74" s="914">
        <v>0</v>
      </c>
      <c r="O74" s="914">
        <v>0</v>
      </c>
      <c r="P74" s="914">
        <v>0</v>
      </c>
      <c r="Q74" s="914">
        <v>0</v>
      </c>
      <c r="R74" s="914">
        <v>0</v>
      </c>
      <c r="S74" s="914">
        <v>0</v>
      </c>
      <c r="T74" s="914">
        <v>0</v>
      </c>
      <c r="U74" s="914">
        <v>0</v>
      </c>
      <c r="V74" s="914">
        <v>0</v>
      </c>
      <c r="W74" s="914">
        <v>0</v>
      </c>
      <c r="X74" s="914">
        <v>0</v>
      </c>
      <c r="Y74" s="914">
        <v>0</v>
      </c>
      <c r="Z74" s="914">
        <v>0</v>
      </c>
      <c r="AA74" s="914">
        <v>0</v>
      </c>
      <c r="AB74" s="914">
        <v>0</v>
      </c>
      <c r="AC74" s="914">
        <v>0</v>
      </c>
      <c r="AD74" s="914">
        <v>0</v>
      </c>
      <c r="AE74" s="914">
        <v>0</v>
      </c>
      <c r="AF74" s="914">
        <v>0</v>
      </c>
      <c r="AG74" s="914">
        <v>0</v>
      </c>
      <c r="AH74" s="914">
        <v>0</v>
      </c>
    </row>
    <row r="76" spans="3:34" x14ac:dyDescent="0.3">
      <c r="C76" s="72" t="s">
        <v>93</v>
      </c>
    </row>
    <row r="77" spans="3:34" x14ac:dyDescent="0.3">
      <c r="D77" s="72" t="s">
        <v>426</v>
      </c>
      <c r="J77" s="277">
        <f>-(J67-I67)</f>
        <v>-246.79365033619706</v>
      </c>
      <c r="K77" s="277">
        <f t="shared" ref="K77:AC77" si="29">-(K67-J67)</f>
        <v>167.08025296655848</v>
      </c>
      <c r="L77" s="277">
        <f t="shared" si="29"/>
        <v>9.9820564471860251</v>
      </c>
      <c r="M77" s="277">
        <f t="shared" si="29"/>
        <v>-3.4149003415463426</v>
      </c>
      <c r="N77" s="277">
        <f t="shared" si="29"/>
        <v>-4.2016099317819027</v>
      </c>
      <c r="O77" s="277">
        <f t="shared" si="29"/>
        <v>-2.1229031277300976</v>
      </c>
      <c r="P77" s="277">
        <f t="shared" si="29"/>
        <v>-2.1229031277300976</v>
      </c>
      <c r="Q77" s="277">
        <f t="shared" si="29"/>
        <v>-2.1229031277300976</v>
      </c>
      <c r="R77" s="277">
        <f t="shared" si="29"/>
        <v>-2.1229031277300976</v>
      </c>
      <c r="S77" s="277">
        <f t="shared" si="29"/>
        <v>-2.1229031277301118</v>
      </c>
      <c r="T77" s="277">
        <f t="shared" si="29"/>
        <v>-4.7832561609825461</v>
      </c>
      <c r="U77" s="277">
        <f t="shared" si="29"/>
        <v>-4.7832561609825746</v>
      </c>
      <c r="V77" s="277">
        <f t="shared" si="29"/>
        <v>-4.7832561609825746</v>
      </c>
      <c r="W77" s="277">
        <f t="shared" si="29"/>
        <v>-4.7832561609825461</v>
      </c>
      <c r="X77" s="277">
        <f t="shared" si="29"/>
        <v>-4.7832561609825746</v>
      </c>
      <c r="Y77" s="277">
        <f t="shared" si="29"/>
        <v>-4.1572490478130817</v>
      </c>
      <c r="Z77" s="277">
        <f t="shared" si="29"/>
        <v>-4.1572490478131101</v>
      </c>
      <c r="AA77" s="277">
        <f t="shared" si="29"/>
        <v>-4.1572490478130675</v>
      </c>
      <c r="AB77" s="277">
        <f t="shared" si="29"/>
        <v>-4.1572490478130817</v>
      </c>
      <c r="AC77" s="277">
        <f t="shared" si="29"/>
        <v>-4.1572490478131101</v>
      </c>
      <c r="AD77" s="277">
        <f>-(AD67-AC67)</f>
        <v>132.66489287840957</v>
      </c>
      <c r="AE77" s="277">
        <f>-(AE67-AD67)</f>
        <v>0</v>
      </c>
      <c r="AF77" s="277">
        <f>-(AF67-AE67)</f>
        <v>0</v>
      </c>
      <c r="AG77" s="277">
        <f>-(AG67-AF67)</f>
        <v>0</v>
      </c>
      <c r="AH77" s="277">
        <f>-(AH67-AG67)</f>
        <v>0</v>
      </c>
    </row>
    <row r="78" spans="3:34" x14ac:dyDescent="0.3">
      <c r="D78" s="72" t="s">
        <v>427</v>
      </c>
      <c r="J78" s="278">
        <f>-(J74-I74)</f>
        <v>0</v>
      </c>
      <c r="K78" s="278">
        <f t="shared" ref="K78:AC78" si="30">-(K74-J74)</f>
        <v>0</v>
      </c>
      <c r="L78" s="278">
        <f t="shared" si="30"/>
        <v>0</v>
      </c>
      <c r="M78" s="278">
        <f t="shared" si="30"/>
        <v>0</v>
      </c>
      <c r="N78" s="278">
        <f t="shared" si="30"/>
        <v>0</v>
      </c>
      <c r="O78" s="278">
        <f t="shared" si="30"/>
        <v>0</v>
      </c>
      <c r="P78" s="278">
        <f t="shared" si="30"/>
        <v>0</v>
      </c>
      <c r="Q78" s="278">
        <f t="shared" si="30"/>
        <v>0</v>
      </c>
      <c r="R78" s="278">
        <f t="shared" si="30"/>
        <v>0</v>
      </c>
      <c r="S78" s="278">
        <f t="shared" si="30"/>
        <v>0</v>
      </c>
      <c r="T78" s="278">
        <f t="shared" si="30"/>
        <v>0</v>
      </c>
      <c r="U78" s="278">
        <f t="shared" si="30"/>
        <v>0</v>
      </c>
      <c r="V78" s="278">
        <f t="shared" si="30"/>
        <v>0</v>
      </c>
      <c r="W78" s="278">
        <f t="shared" si="30"/>
        <v>0</v>
      </c>
      <c r="X78" s="278">
        <f t="shared" si="30"/>
        <v>0</v>
      </c>
      <c r="Y78" s="278">
        <f t="shared" si="30"/>
        <v>0</v>
      </c>
      <c r="Z78" s="278">
        <f t="shared" si="30"/>
        <v>0</v>
      </c>
      <c r="AA78" s="278">
        <f t="shared" si="30"/>
        <v>0</v>
      </c>
      <c r="AB78" s="278">
        <f t="shared" si="30"/>
        <v>0</v>
      </c>
      <c r="AC78" s="278">
        <f t="shared" si="30"/>
        <v>0</v>
      </c>
      <c r="AD78" s="278">
        <f>-(AD74-AC74)</f>
        <v>0</v>
      </c>
      <c r="AE78" s="278">
        <f>-(AE74-AD74)</f>
        <v>0</v>
      </c>
      <c r="AF78" s="278">
        <f>-(AF74-AE74)</f>
        <v>0</v>
      </c>
      <c r="AG78" s="278">
        <f>-(AG74-AF74)</f>
        <v>0</v>
      </c>
      <c r="AH78" s="278">
        <f>-(AH74-AG74)</f>
        <v>0</v>
      </c>
    </row>
    <row r="79" spans="3:34" x14ac:dyDescent="0.3">
      <c r="D79" s="72" t="s">
        <v>428</v>
      </c>
      <c r="J79" s="278">
        <f>(J72-I72)</f>
        <v>31.643835616438356</v>
      </c>
      <c r="K79" s="278">
        <f t="shared" ref="K79:AC79" si="31">(K72-J72)</f>
        <v>0</v>
      </c>
      <c r="L79" s="278">
        <f t="shared" si="31"/>
        <v>0</v>
      </c>
      <c r="M79" s="278">
        <f t="shared" si="31"/>
        <v>0.63287671232876264</v>
      </c>
      <c r="N79" s="278">
        <f t="shared" si="31"/>
        <v>0.64553424657534464</v>
      </c>
      <c r="O79" s="278">
        <f t="shared" si="31"/>
        <v>0.65844493150684968</v>
      </c>
      <c r="P79" s="278">
        <f t="shared" si="31"/>
        <v>0.67161383013698384</v>
      </c>
      <c r="Q79" s="278">
        <f t="shared" si="31"/>
        <v>0.68504610673972621</v>
      </c>
      <c r="R79" s="278">
        <f t="shared" si="31"/>
        <v>0.69874702887452145</v>
      </c>
      <c r="S79" s="278">
        <f t="shared" si="31"/>
        <v>0.71272196945201216</v>
      </c>
      <c r="T79" s="278">
        <f t="shared" si="31"/>
        <v>0.72697640884105397</v>
      </c>
      <c r="U79" s="278">
        <f t="shared" si="31"/>
        <v>0.74151593701787277</v>
      </c>
      <c r="V79" s="278">
        <f t="shared" si="31"/>
        <v>0.75634625575823122</v>
      </c>
      <c r="W79" s="278">
        <f t="shared" si="31"/>
        <v>0.77147318087339301</v>
      </c>
      <c r="X79" s="278">
        <f t="shared" si="31"/>
        <v>0.78690264449086555</v>
      </c>
      <c r="Y79" s="278">
        <f t="shared" si="31"/>
        <v>0.80264069738068144</v>
      </c>
      <c r="Z79" s="278">
        <f t="shared" si="31"/>
        <v>0.81869351132829138</v>
      </c>
      <c r="AA79" s="278">
        <f t="shared" si="31"/>
        <v>0.83506738155485749</v>
      </c>
      <c r="AB79" s="278">
        <f t="shared" si="31"/>
        <v>0.85176872918594881</v>
      </c>
      <c r="AC79" s="278">
        <f t="shared" si="31"/>
        <v>0.86880410376967632</v>
      </c>
      <c r="AD79" s="278">
        <f>(AD72-AC72)</f>
        <v>-44.309009292253428</v>
      </c>
      <c r="AE79" s="278">
        <f>(AE72-AD72)</f>
        <v>0</v>
      </c>
      <c r="AF79" s="278">
        <f>(AF72-AE72)</f>
        <v>0</v>
      </c>
      <c r="AG79" s="278">
        <f>(AG72-AF72)</f>
        <v>0</v>
      </c>
      <c r="AH79" s="278">
        <f>(AH72-AG72)</f>
        <v>0</v>
      </c>
    </row>
    <row r="80" spans="3:34" x14ac:dyDescent="0.3">
      <c r="D80" s="72" t="s">
        <v>429</v>
      </c>
      <c r="J80" s="278">
        <f>SUM(J77:J79)</f>
        <v>-215.14981471975869</v>
      </c>
      <c r="K80" s="278">
        <f t="shared" ref="K80:AC80" si="32">SUM(K77:K79)</f>
        <v>167.08025296655848</v>
      </c>
      <c r="L80" s="278">
        <f t="shared" si="32"/>
        <v>9.9820564471860251</v>
      </c>
      <c r="M80" s="278">
        <f t="shared" si="32"/>
        <v>-2.78202362921758</v>
      </c>
      <c r="N80" s="278">
        <f t="shared" si="32"/>
        <v>-3.556075685206558</v>
      </c>
      <c r="O80" s="278">
        <f t="shared" si="32"/>
        <v>-1.4644581962232479</v>
      </c>
      <c r="P80" s="278">
        <f t="shared" si="32"/>
        <v>-1.4512892975931138</v>
      </c>
      <c r="Q80" s="278">
        <f t="shared" si="32"/>
        <v>-1.4378570209903714</v>
      </c>
      <c r="R80" s="278">
        <f t="shared" si="32"/>
        <v>-1.4241560988555761</v>
      </c>
      <c r="S80" s="278">
        <f t="shared" si="32"/>
        <v>-1.4101811582780996</v>
      </c>
      <c r="T80" s="278">
        <f t="shared" si="32"/>
        <v>-4.0562797521414922</v>
      </c>
      <c r="U80" s="278">
        <f t="shared" si="32"/>
        <v>-4.0417402239647018</v>
      </c>
      <c r="V80" s="278">
        <f t="shared" si="32"/>
        <v>-4.0269099052243433</v>
      </c>
      <c r="W80" s="278">
        <f t="shared" si="32"/>
        <v>-4.0117829801091531</v>
      </c>
      <c r="X80" s="278">
        <f t="shared" si="32"/>
        <v>-3.996353516491709</v>
      </c>
      <c r="Y80" s="278">
        <f t="shared" si="32"/>
        <v>-3.3546083504324002</v>
      </c>
      <c r="Z80" s="278">
        <f t="shared" si="32"/>
        <v>-3.3385555364848187</v>
      </c>
      <c r="AA80" s="278">
        <f t="shared" si="32"/>
        <v>-3.32218166625821</v>
      </c>
      <c r="AB80" s="278">
        <f t="shared" si="32"/>
        <v>-3.3054803186271329</v>
      </c>
      <c r="AC80" s="278">
        <f t="shared" si="32"/>
        <v>-3.2884449440434338</v>
      </c>
      <c r="AD80" s="278">
        <f>SUM(AD77:AD79)</f>
        <v>88.355883586156153</v>
      </c>
      <c r="AE80" s="278">
        <f>SUM(AE77:AE79)</f>
        <v>0</v>
      </c>
      <c r="AF80" s="278">
        <f>SUM(AF77:AF79)</f>
        <v>0</v>
      </c>
      <c r="AG80" s="278">
        <f>SUM(AG77:AG79)</f>
        <v>0</v>
      </c>
      <c r="AH80" s="278">
        <f>SUM(AH77:AH79)</f>
        <v>0</v>
      </c>
    </row>
    <row r="82" spans="3:34" ht="15" thickBot="1" x14ac:dyDescent="0.35">
      <c r="C82" s="81" t="s">
        <v>430</v>
      </c>
      <c r="D82" s="262"/>
      <c r="E82" s="83"/>
      <c r="F82" s="83"/>
      <c r="G82" s="83"/>
      <c r="H82" s="83"/>
      <c r="I82" s="83"/>
      <c r="J82" s="83"/>
      <c r="K82" s="83"/>
      <c r="L82" s="83"/>
      <c r="M82" s="83"/>
      <c r="N82" s="83"/>
      <c r="O82" s="83"/>
      <c r="P82" s="83"/>
      <c r="Q82" s="83"/>
      <c r="R82" s="83"/>
      <c r="S82" s="83"/>
      <c r="T82" s="83"/>
      <c r="U82" s="83"/>
      <c r="V82" s="83"/>
      <c r="W82" s="83"/>
      <c r="X82" s="263"/>
      <c r="Y82" s="263"/>
      <c r="Z82" s="263"/>
      <c r="AA82" s="263"/>
      <c r="AB82" s="263"/>
      <c r="AC82" s="263"/>
      <c r="AD82" s="263"/>
      <c r="AE82" s="263"/>
      <c r="AF82" s="263"/>
      <c r="AG82" s="263"/>
      <c r="AH82" s="263"/>
    </row>
    <row r="84" spans="3:34" x14ac:dyDescent="0.3">
      <c r="H84" s="72" t="s">
        <v>33</v>
      </c>
      <c r="I84" s="71">
        <v>1</v>
      </c>
      <c r="J84" s="71">
        <v>2</v>
      </c>
      <c r="K84" s="71">
        <v>3</v>
      </c>
      <c r="L84" s="71">
        <v>4</v>
      </c>
      <c r="M84" s="71">
        <v>5</v>
      </c>
      <c r="N84" s="71">
        <v>6</v>
      </c>
      <c r="O84" s="71">
        <v>7</v>
      </c>
      <c r="P84" s="71">
        <v>8</v>
      </c>
      <c r="Q84" s="71">
        <v>9</v>
      </c>
      <c r="R84" s="71">
        <v>10</v>
      </c>
      <c r="S84" s="71">
        <v>11</v>
      </c>
      <c r="T84" s="71">
        <v>12</v>
      </c>
      <c r="U84" s="71">
        <v>13</v>
      </c>
      <c r="V84" s="71">
        <v>14</v>
      </c>
      <c r="W84" s="71">
        <v>15</v>
      </c>
      <c r="X84" s="71">
        <v>16</v>
      </c>
      <c r="Y84" s="71">
        <v>17</v>
      </c>
      <c r="Z84" s="71">
        <v>18</v>
      </c>
      <c r="AA84" s="71">
        <v>19</v>
      </c>
      <c r="AB84" s="71">
        <v>20</v>
      </c>
      <c r="AC84" s="71">
        <v>21</v>
      </c>
      <c r="AD84" s="71">
        <v>22</v>
      </c>
      <c r="AE84" s="71">
        <v>23</v>
      </c>
      <c r="AF84" s="71">
        <v>24</v>
      </c>
      <c r="AG84" s="71">
        <v>25</v>
      </c>
      <c r="AH84" s="71"/>
    </row>
    <row r="85" spans="3:34" x14ac:dyDescent="0.3">
      <c r="H85" s="71">
        <v>3</v>
      </c>
      <c r="I85" s="916">
        <v>0.33329999999999999</v>
      </c>
      <c r="J85" s="916">
        <v>0.44450000000000001</v>
      </c>
      <c r="K85" s="916">
        <v>0.14810000000000001</v>
      </c>
      <c r="L85" s="916">
        <v>7.4099999999999999E-2</v>
      </c>
      <c r="M85" s="916">
        <v>0</v>
      </c>
      <c r="N85" s="916">
        <v>0</v>
      </c>
      <c r="O85" s="916">
        <v>0</v>
      </c>
      <c r="P85" s="916">
        <v>0</v>
      </c>
      <c r="Q85" s="916">
        <v>0</v>
      </c>
      <c r="R85" s="916">
        <v>0</v>
      </c>
      <c r="S85" s="916">
        <v>0</v>
      </c>
      <c r="T85" s="916">
        <v>0</v>
      </c>
      <c r="U85" s="916">
        <v>0</v>
      </c>
      <c r="V85" s="916">
        <v>0</v>
      </c>
      <c r="W85" s="916">
        <v>0</v>
      </c>
      <c r="X85" s="916">
        <v>0</v>
      </c>
      <c r="Y85" s="916">
        <v>0</v>
      </c>
      <c r="Z85" s="916">
        <v>0</v>
      </c>
      <c r="AA85" s="916">
        <v>0</v>
      </c>
      <c r="AB85" s="916">
        <v>0</v>
      </c>
      <c r="AC85" s="916">
        <v>0</v>
      </c>
      <c r="AD85" s="916">
        <v>0</v>
      </c>
      <c r="AE85" s="916">
        <v>0</v>
      </c>
      <c r="AF85" s="916">
        <v>0</v>
      </c>
      <c r="AG85" s="916">
        <v>0</v>
      </c>
      <c r="AH85" s="917"/>
    </row>
    <row r="86" spans="3:34" x14ac:dyDescent="0.3">
      <c r="H86" s="71">
        <v>5</v>
      </c>
      <c r="I86" s="916">
        <v>0.2</v>
      </c>
      <c r="J86" s="916">
        <v>0.32</v>
      </c>
      <c r="K86" s="916">
        <v>0.192</v>
      </c>
      <c r="L86" s="916">
        <v>0.1152</v>
      </c>
      <c r="M86" s="916">
        <v>0.1152</v>
      </c>
      <c r="N86" s="916">
        <v>5.7599999999999998E-2</v>
      </c>
      <c r="O86" s="916">
        <v>0</v>
      </c>
      <c r="P86" s="916">
        <v>0</v>
      </c>
      <c r="Q86" s="916">
        <v>0</v>
      </c>
      <c r="R86" s="916">
        <v>0</v>
      </c>
      <c r="S86" s="916">
        <v>0</v>
      </c>
      <c r="T86" s="916">
        <v>0</v>
      </c>
      <c r="U86" s="916">
        <v>0</v>
      </c>
      <c r="V86" s="916">
        <v>0</v>
      </c>
      <c r="W86" s="916">
        <v>0</v>
      </c>
      <c r="X86" s="916">
        <v>0</v>
      </c>
      <c r="Y86" s="916">
        <v>0</v>
      </c>
      <c r="Z86" s="916">
        <v>0</v>
      </c>
      <c r="AA86" s="916">
        <v>0</v>
      </c>
      <c r="AB86" s="916">
        <v>0</v>
      </c>
      <c r="AC86" s="916">
        <v>0</v>
      </c>
      <c r="AD86" s="916">
        <v>0</v>
      </c>
      <c r="AE86" s="916">
        <v>0</v>
      </c>
      <c r="AF86" s="916">
        <v>0</v>
      </c>
      <c r="AG86" s="916">
        <v>0</v>
      </c>
      <c r="AH86" s="917"/>
    </row>
    <row r="87" spans="3:34" x14ac:dyDescent="0.3">
      <c r="H87" s="71">
        <v>7</v>
      </c>
      <c r="I87" s="916">
        <v>0.1429</v>
      </c>
      <c r="J87" s="916">
        <v>0.24490000000000001</v>
      </c>
      <c r="K87" s="916">
        <v>0.1749</v>
      </c>
      <c r="L87" s="916">
        <v>0.1249</v>
      </c>
      <c r="M87" s="916">
        <v>8.9300000000000004E-2</v>
      </c>
      <c r="N87" s="916">
        <v>8.9200000000000002E-2</v>
      </c>
      <c r="O87" s="916">
        <v>8.9300000000000004E-2</v>
      </c>
      <c r="P87" s="916">
        <v>4.4600000000000001E-2</v>
      </c>
      <c r="Q87" s="916">
        <v>0</v>
      </c>
      <c r="R87" s="916">
        <v>0</v>
      </c>
      <c r="S87" s="916">
        <v>0</v>
      </c>
      <c r="T87" s="916">
        <v>0</v>
      </c>
      <c r="U87" s="916">
        <v>0</v>
      </c>
      <c r="V87" s="916">
        <v>0</v>
      </c>
      <c r="W87" s="916">
        <v>0</v>
      </c>
      <c r="X87" s="916">
        <v>0</v>
      </c>
      <c r="Y87" s="916">
        <v>0</v>
      </c>
      <c r="Z87" s="916">
        <v>0</v>
      </c>
      <c r="AA87" s="916">
        <v>0</v>
      </c>
      <c r="AB87" s="916">
        <v>0</v>
      </c>
      <c r="AC87" s="916">
        <v>0</v>
      </c>
      <c r="AD87" s="916">
        <v>0</v>
      </c>
      <c r="AE87" s="916">
        <v>0</v>
      </c>
      <c r="AF87" s="916">
        <v>0</v>
      </c>
      <c r="AG87" s="916">
        <v>0</v>
      </c>
      <c r="AH87" s="917"/>
    </row>
    <row r="88" spans="3:34" x14ac:dyDescent="0.3">
      <c r="H88" s="71">
        <v>10</v>
      </c>
      <c r="I88" s="916">
        <v>0.1</v>
      </c>
      <c r="J88" s="916">
        <v>0.18</v>
      </c>
      <c r="K88" s="916">
        <v>0.14399999999999999</v>
      </c>
      <c r="L88" s="916">
        <v>0.1152</v>
      </c>
      <c r="M88" s="916">
        <v>9.2200000000000004E-2</v>
      </c>
      <c r="N88" s="916">
        <v>7.3700000000000002E-2</v>
      </c>
      <c r="O88" s="916">
        <v>6.5500000000000003E-2</v>
      </c>
      <c r="P88" s="916">
        <v>6.5500000000000003E-2</v>
      </c>
      <c r="Q88" s="916">
        <v>6.5600000000000006E-2</v>
      </c>
      <c r="R88" s="916">
        <v>6.5500000000000003E-2</v>
      </c>
      <c r="S88" s="916">
        <v>3.2800000000000003E-2</v>
      </c>
      <c r="T88" s="916">
        <v>0</v>
      </c>
      <c r="U88" s="916">
        <v>0</v>
      </c>
      <c r="V88" s="916">
        <v>0</v>
      </c>
      <c r="W88" s="916">
        <v>0</v>
      </c>
      <c r="X88" s="916">
        <v>0</v>
      </c>
      <c r="Y88" s="916">
        <v>0</v>
      </c>
      <c r="Z88" s="916">
        <v>0</v>
      </c>
      <c r="AA88" s="916">
        <v>0</v>
      </c>
      <c r="AB88" s="916">
        <v>0</v>
      </c>
      <c r="AC88" s="916">
        <v>0</v>
      </c>
      <c r="AD88" s="916">
        <v>0</v>
      </c>
      <c r="AE88" s="916">
        <v>0</v>
      </c>
      <c r="AF88" s="916">
        <v>0</v>
      </c>
      <c r="AG88" s="916">
        <v>0</v>
      </c>
      <c r="AH88" s="917"/>
    </row>
    <row r="89" spans="3:34" x14ac:dyDescent="0.3">
      <c r="H89" s="71">
        <v>15</v>
      </c>
      <c r="I89" s="916">
        <v>0.05</v>
      </c>
      <c r="J89" s="916">
        <v>9.5000000000000001E-2</v>
      </c>
      <c r="K89" s="916">
        <v>8.5500000000000007E-2</v>
      </c>
      <c r="L89" s="916">
        <v>7.6999999999999999E-2</v>
      </c>
      <c r="M89" s="916">
        <v>6.93E-2</v>
      </c>
      <c r="N89" s="916">
        <v>6.2300000000000001E-2</v>
      </c>
      <c r="O89" s="916">
        <v>5.8999999999999997E-2</v>
      </c>
      <c r="P89" s="916">
        <v>5.8999999999999997E-2</v>
      </c>
      <c r="Q89" s="916">
        <v>5.91E-2</v>
      </c>
      <c r="R89" s="916">
        <v>5.8999999999999997E-2</v>
      </c>
      <c r="S89" s="916">
        <v>5.91E-2</v>
      </c>
      <c r="T89" s="916">
        <v>5.8999999999999997E-2</v>
      </c>
      <c r="U89" s="916">
        <v>5.91E-2</v>
      </c>
      <c r="V89" s="916">
        <v>5.8999999999999997E-2</v>
      </c>
      <c r="W89" s="916">
        <v>5.91E-2</v>
      </c>
      <c r="X89" s="916">
        <v>2.9499999999999998E-2</v>
      </c>
      <c r="Y89" s="916">
        <v>0</v>
      </c>
      <c r="Z89" s="916">
        <v>0</v>
      </c>
      <c r="AA89" s="916">
        <v>0</v>
      </c>
      <c r="AB89" s="916">
        <v>0</v>
      </c>
      <c r="AC89" s="916">
        <v>0</v>
      </c>
      <c r="AD89" s="916">
        <v>0</v>
      </c>
      <c r="AE89" s="916">
        <v>0</v>
      </c>
      <c r="AF89" s="916">
        <v>0</v>
      </c>
      <c r="AG89" s="916">
        <v>0</v>
      </c>
      <c r="AH89" s="917"/>
    </row>
    <row r="90" spans="3:34" x14ac:dyDescent="0.3">
      <c r="H90" s="71">
        <v>20</v>
      </c>
      <c r="I90" s="916">
        <v>3.7499999999999999E-2</v>
      </c>
      <c r="J90" s="916">
        <v>7.2190000000000004E-2</v>
      </c>
      <c r="K90" s="916">
        <v>6.6769999999999996E-2</v>
      </c>
      <c r="L90" s="916">
        <v>6.1769999999999999E-2</v>
      </c>
      <c r="M90" s="916">
        <v>5.713E-2</v>
      </c>
      <c r="N90" s="916">
        <v>5.2850000000000001E-2</v>
      </c>
      <c r="O90" s="916">
        <v>4.888E-2</v>
      </c>
      <c r="P90" s="916">
        <v>4.5220000000000003E-2</v>
      </c>
      <c r="Q90" s="916">
        <v>4.462E-2</v>
      </c>
      <c r="R90" s="916">
        <v>4.4609999999999997E-2</v>
      </c>
      <c r="S90" s="916">
        <v>4.462E-2</v>
      </c>
      <c r="T90" s="916">
        <v>4.4609999999999997E-2</v>
      </c>
      <c r="U90" s="916">
        <v>4.462E-2</v>
      </c>
      <c r="V90" s="916">
        <v>4.4609999999999997E-2</v>
      </c>
      <c r="W90" s="916">
        <v>4.462E-2</v>
      </c>
      <c r="X90" s="916">
        <v>4.4609999999999997E-2</v>
      </c>
      <c r="Y90" s="916">
        <v>4.462E-2</v>
      </c>
      <c r="Z90" s="916">
        <v>4.4609999999999997E-2</v>
      </c>
      <c r="AA90" s="916">
        <v>4.462E-2</v>
      </c>
      <c r="AB90" s="916">
        <v>4.4609999999999997E-2</v>
      </c>
      <c r="AC90" s="916">
        <v>4.4609999999999997E-2</v>
      </c>
      <c r="AD90" s="916">
        <v>4.4609999999999997E-2</v>
      </c>
      <c r="AE90" s="916">
        <v>4.4609999999999997E-2</v>
      </c>
      <c r="AF90" s="916">
        <v>4.4609999999999997E-2</v>
      </c>
      <c r="AG90" s="916">
        <v>4.4609999999999997E-2</v>
      </c>
      <c r="AH90" s="917"/>
    </row>
    <row r="97" spans="4:49" s="919" customFormat="1" x14ac:dyDescent="0.3">
      <c r="D97" s="918"/>
      <c r="E97" s="531"/>
      <c r="F97" s="918"/>
      <c r="G97" s="918"/>
      <c r="H97" s="918"/>
      <c r="I97" s="918"/>
      <c r="J97" s="918"/>
      <c r="K97" s="918"/>
      <c r="L97" s="918"/>
      <c r="M97" s="918"/>
      <c r="N97" s="918"/>
      <c r="O97" s="918"/>
      <c r="P97" s="918"/>
      <c r="Q97" s="918"/>
      <c r="R97" s="918"/>
      <c r="S97" s="918"/>
      <c r="T97" s="918"/>
      <c r="U97" s="918"/>
      <c r="V97" s="918"/>
      <c r="W97" s="918"/>
      <c r="X97" s="918"/>
      <c r="Y97" s="918"/>
      <c r="Z97" s="918"/>
      <c r="AA97" s="918"/>
      <c r="AB97" s="918"/>
      <c r="AC97" s="918"/>
      <c r="AD97" s="918"/>
      <c r="AE97" s="918"/>
      <c r="AF97" s="918"/>
      <c r="AG97" s="918"/>
      <c r="AH97" s="918"/>
      <c r="AI97" s="918"/>
      <c r="AJ97" s="918"/>
      <c r="AK97" s="918"/>
      <c r="AL97" s="918"/>
      <c r="AM97" s="918"/>
      <c r="AN97" s="918"/>
      <c r="AO97" s="918"/>
      <c r="AP97" s="918"/>
      <c r="AQ97" s="918"/>
      <c r="AR97" s="918"/>
      <c r="AS97" s="918"/>
      <c r="AT97" s="918"/>
      <c r="AU97" s="918"/>
      <c r="AV97" s="918"/>
      <c r="AW97" s="918"/>
    </row>
    <row r="98" spans="4:49" s="919" customFormat="1" x14ac:dyDescent="0.3">
      <c r="D98" s="918"/>
      <c r="E98" s="918"/>
      <c r="F98" s="918"/>
      <c r="G98" s="918"/>
      <c r="H98" s="920"/>
      <c r="I98" s="920"/>
      <c r="J98" s="920"/>
      <c r="K98" s="920"/>
      <c r="L98" s="920"/>
      <c r="M98" s="920"/>
      <c r="N98" s="920"/>
      <c r="O98" s="920"/>
      <c r="P98" s="920"/>
      <c r="Q98" s="920"/>
      <c r="R98" s="920"/>
      <c r="S98" s="920"/>
      <c r="T98" s="920"/>
      <c r="U98" s="920"/>
      <c r="V98" s="920"/>
      <c r="W98" s="920"/>
      <c r="X98" s="920"/>
      <c r="Y98" s="920"/>
      <c r="Z98" s="920"/>
      <c r="AA98" s="920"/>
      <c r="AB98" s="920"/>
      <c r="AC98" s="920"/>
      <c r="AD98" s="920"/>
      <c r="AE98" s="920"/>
      <c r="AF98" s="920"/>
      <c r="AG98" s="920"/>
      <c r="AH98" s="920"/>
      <c r="AI98" s="920"/>
      <c r="AJ98" s="920"/>
      <c r="AK98" s="920"/>
      <c r="AL98" s="920"/>
      <c r="AM98" s="920"/>
      <c r="AN98" s="920"/>
      <c r="AO98" s="920"/>
      <c r="AP98" s="920"/>
      <c r="AQ98" s="920"/>
      <c r="AR98" s="920"/>
      <c r="AS98" s="920"/>
      <c r="AT98" s="920"/>
      <c r="AU98" s="920"/>
      <c r="AV98" s="920"/>
      <c r="AW98" s="920"/>
    </row>
    <row r="99" spans="4:49" s="919" customFormat="1" x14ac:dyDescent="0.3">
      <c r="D99" s="918"/>
      <c r="E99" s="918"/>
      <c r="F99" s="921"/>
      <c r="G99" s="922"/>
      <c r="H99" s="921"/>
      <c r="I99" s="921"/>
      <c r="J99" s="921"/>
      <c r="K99" s="921"/>
      <c r="L99" s="921"/>
      <c r="M99" s="921"/>
      <c r="N99" s="921"/>
      <c r="O99" s="921"/>
      <c r="P99" s="921"/>
      <c r="Q99" s="921"/>
      <c r="R99" s="921"/>
      <c r="S99" s="921"/>
      <c r="T99" s="921"/>
      <c r="U99" s="921"/>
      <c r="V99" s="921"/>
      <c r="W99" s="921"/>
      <c r="X99" s="921"/>
      <c r="Y99" s="921"/>
      <c r="Z99" s="921"/>
      <c r="AA99" s="921"/>
      <c r="AB99" s="921"/>
      <c r="AC99" s="921"/>
      <c r="AD99" s="921"/>
      <c r="AE99" s="921"/>
      <c r="AF99" s="921"/>
      <c r="AG99" s="921"/>
      <c r="AH99" s="921"/>
      <c r="AI99" s="921"/>
      <c r="AJ99" s="921"/>
      <c r="AK99" s="921"/>
      <c r="AL99" s="921"/>
      <c r="AM99" s="921"/>
      <c r="AN99" s="921"/>
      <c r="AO99" s="921"/>
      <c r="AP99" s="921"/>
      <c r="AQ99" s="921"/>
      <c r="AR99" s="921"/>
      <c r="AS99" s="921"/>
      <c r="AT99" s="921"/>
      <c r="AU99" s="921"/>
      <c r="AV99" s="921"/>
      <c r="AW99" s="921"/>
    </row>
    <row r="100" spans="4:49" s="919" customFormat="1" x14ac:dyDescent="0.3">
      <c r="D100" s="918"/>
      <c r="E100" s="918"/>
      <c r="F100" s="921"/>
      <c r="G100" s="922"/>
      <c r="H100" s="921"/>
      <c r="I100" s="921"/>
      <c r="J100" s="921"/>
      <c r="K100" s="921"/>
      <c r="L100" s="921"/>
      <c r="M100" s="921"/>
      <c r="N100" s="921"/>
      <c r="O100" s="921"/>
      <c r="P100" s="921"/>
      <c r="Q100" s="921"/>
      <c r="R100" s="921"/>
      <c r="S100" s="921"/>
      <c r="T100" s="921"/>
      <c r="U100" s="921"/>
      <c r="V100" s="921"/>
      <c r="W100" s="921"/>
      <c r="X100" s="921"/>
      <c r="Y100" s="921"/>
      <c r="Z100" s="921"/>
      <c r="AA100" s="921"/>
      <c r="AB100" s="921"/>
      <c r="AC100" s="918"/>
      <c r="AD100" s="918"/>
      <c r="AE100" s="918"/>
      <c r="AF100" s="918"/>
      <c r="AG100" s="918"/>
      <c r="AH100" s="918"/>
      <c r="AI100" s="918"/>
      <c r="AJ100" s="918"/>
      <c r="AK100" s="918"/>
      <c r="AL100" s="918"/>
      <c r="AM100" s="918"/>
      <c r="AN100" s="918"/>
      <c r="AO100" s="918"/>
      <c r="AP100" s="918"/>
      <c r="AQ100" s="918"/>
      <c r="AR100" s="918"/>
      <c r="AS100" s="918"/>
      <c r="AT100" s="918"/>
      <c r="AU100" s="918"/>
      <c r="AV100" s="918"/>
      <c r="AW100" s="918"/>
    </row>
    <row r="101" spans="4:49" s="919" customFormat="1" x14ac:dyDescent="0.3">
      <c r="D101" s="918"/>
      <c r="E101" s="918"/>
      <c r="F101" s="918"/>
      <c r="G101" s="918"/>
      <c r="H101" s="918"/>
      <c r="I101" s="918"/>
      <c r="J101" s="918"/>
      <c r="K101" s="918"/>
      <c r="L101" s="918"/>
      <c r="M101" s="918"/>
      <c r="N101" s="918"/>
      <c r="O101" s="918"/>
      <c r="P101" s="918"/>
      <c r="Q101" s="918"/>
      <c r="R101" s="918"/>
      <c r="S101" s="918"/>
      <c r="T101" s="918"/>
      <c r="U101" s="918"/>
      <c r="V101" s="918"/>
      <c r="W101" s="918"/>
      <c r="X101" s="918"/>
      <c r="Y101" s="918"/>
      <c r="Z101" s="918"/>
      <c r="AA101" s="918"/>
      <c r="AB101" s="918"/>
      <c r="AC101" s="918"/>
      <c r="AD101" s="918"/>
      <c r="AE101" s="918"/>
      <c r="AF101" s="918"/>
      <c r="AG101" s="918"/>
      <c r="AH101" s="918"/>
      <c r="AI101" s="918"/>
      <c r="AJ101" s="918"/>
      <c r="AK101" s="918"/>
      <c r="AL101" s="918"/>
      <c r="AM101" s="918"/>
      <c r="AN101" s="918"/>
      <c r="AO101" s="918"/>
      <c r="AP101" s="918"/>
      <c r="AQ101" s="918"/>
      <c r="AR101" s="918"/>
      <c r="AS101" s="918"/>
      <c r="AT101" s="918"/>
      <c r="AU101" s="918"/>
      <c r="AV101" s="918"/>
      <c r="AW101" s="918"/>
    </row>
    <row r="102" spans="4:49" s="919" customFormat="1" x14ac:dyDescent="0.3">
      <c r="D102" s="918"/>
      <c r="E102" s="918"/>
      <c r="F102" s="918"/>
      <c r="G102" s="918"/>
      <c r="H102" s="918"/>
      <c r="I102" s="923"/>
      <c r="J102" s="923"/>
      <c r="K102" s="923"/>
      <c r="L102" s="923"/>
      <c r="M102" s="923"/>
      <c r="N102" s="923"/>
      <c r="O102" s="923"/>
      <c r="P102" s="923"/>
      <c r="Q102" s="923"/>
      <c r="R102" s="923"/>
      <c r="S102" s="923"/>
      <c r="T102" s="923"/>
      <c r="U102" s="923"/>
      <c r="V102" s="923"/>
      <c r="W102" s="923"/>
      <c r="X102" s="923"/>
      <c r="Y102" s="923"/>
      <c r="Z102" s="923"/>
      <c r="AA102" s="923"/>
      <c r="AB102" s="923"/>
      <c r="AC102" s="918"/>
      <c r="AD102" s="918"/>
      <c r="AE102" s="918"/>
      <c r="AF102" s="918"/>
      <c r="AG102" s="918"/>
      <c r="AH102" s="918"/>
      <c r="AI102" s="918"/>
      <c r="AJ102" s="918"/>
      <c r="AK102" s="918"/>
      <c r="AL102" s="918"/>
      <c r="AM102" s="918"/>
      <c r="AN102" s="918"/>
      <c r="AO102" s="918"/>
      <c r="AP102" s="918"/>
      <c r="AQ102" s="918"/>
      <c r="AR102" s="918"/>
      <c r="AS102" s="918"/>
      <c r="AT102" s="918"/>
      <c r="AU102" s="918"/>
      <c r="AV102" s="918"/>
      <c r="AW102" s="918"/>
    </row>
    <row r="103" spans="4:49" s="919" customFormat="1" x14ac:dyDescent="0.3">
      <c r="D103" s="918"/>
      <c r="E103" s="918"/>
      <c r="F103" s="921"/>
      <c r="G103" s="922"/>
      <c r="H103" s="921"/>
      <c r="I103" s="921"/>
      <c r="J103" s="921"/>
      <c r="K103" s="921"/>
      <c r="L103" s="921"/>
      <c r="M103" s="921"/>
      <c r="N103" s="921"/>
      <c r="O103" s="921"/>
      <c r="P103" s="921"/>
      <c r="Q103" s="921"/>
      <c r="R103" s="921"/>
      <c r="S103" s="921"/>
      <c r="T103" s="921"/>
      <c r="U103" s="921"/>
      <c r="V103" s="921"/>
      <c r="W103" s="921"/>
      <c r="X103" s="921"/>
      <c r="Y103" s="921"/>
      <c r="Z103" s="921"/>
      <c r="AA103" s="921"/>
      <c r="AB103" s="921"/>
      <c r="AC103" s="918"/>
      <c r="AD103" s="918"/>
      <c r="AE103" s="918"/>
      <c r="AF103" s="918"/>
      <c r="AG103" s="918"/>
      <c r="AH103" s="918"/>
      <c r="AI103" s="918"/>
      <c r="AJ103" s="918"/>
      <c r="AK103" s="918"/>
      <c r="AL103" s="918"/>
      <c r="AM103" s="918"/>
      <c r="AN103" s="918"/>
      <c r="AO103" s="918"/>
      <c r="AP103" s="918"/>
      <c r="AQ103" s="918"/>
      <c r="AR103" s="918"/>
      <c r="AS103" s="918"/>
      <c r="AT103" s="918"/>
      <c r="AU103" s="918"/>
      <c r="AV103" s="918"/>
      <c r="AW103" s="918"/>
    </row>
    <row r="104" spans="4:49" s="919" customFormat="1" x14ac:dyDescent="0.3">
      <c r="D104" s="918"/>
      <c r="E104" s="918"/>
      <c r="F104" s="921"/>
      <c r="G104" s="921"/>
      <c r="H104" s="921"/>
      <c r="I104" s="921"/>
      <c r="J104" s="921"/>
      <c r="K104" s="921"/>
      <c r="L104" s="921"/>
      <c r="M104" s="921"/>
      <c r="N104" s="921"/>
      <c r="O104" s="921"/>
      <c r="P104" s="921"/>
      <c r="Q104" s="921"/>
      <c r="R104" s="921"/>
      <c r="S104" s="921"/>
      <c r="T104" s="921"/>
      <c r="U104" s="921"/>
      <c r="V104" s="921"/>
      <c r="W104" s="921"/>
      <c r="X104" s="921"/>
      <c r="Y104" s="921"/>
      <c r="Z104" s="921"/>
      <c r="AA104" s="921"/>
      <c r="AB104" s="921"/>
      <c r="AC104" s="918"/>
      <c r="AD104" s="918"/>
      <c r="AE104" s="918"/>
      <c r="AF104" s="918"/>
      <c r="AG104" s="918"/>
      <c r="AH104" s="918"/>
      <c r="AI104" s="918"/>
      <c r="AJ104" s="918"/>
      <c r="AK104" s="918"/>
      <c r="AL104" s="918"/>
      <c r="AM104" s="918"/>
      <c r="AN104" s="918"/>
      <c r="AO104" s="918"/>
      <c r="AP104" s="918"/>
      <c r="AQ104" s="918"/>
      <c r="AR104" s="918"/>
      <c r="AS104" s="918"/>
      <c r="AT104" s="918"/>
      <c r="AU104" s="918"/>
      <c r="AV104" s="918"/>
      <c r="AW104" s="918"/>
    </row>
    <row r="105" spans="4:49" s="919" customFormat="1" x14ac:dyDescent="0.3">
      <c r="D105" s="918"/>
      <c r="E105" s="918"/>
      <c r="F105" s="918"/>
      <c r="G105" s="918"/>
      <c r="H105" s="918"/>
      <c r="I105" s="918"/>
      <c r="J105" s="918"/>
      <c r="K105" s="918"/>
      <c r="L105" s="918"/>
      <c r="M105" s="918"/>
      <c r="N105" s="918"/>
      <c r="O105" s="918"/>
      <c r="P105" s="918"/>
      <c r="Q105" s="918"/>
      <c r="R105" s="918"/>
      <c r="S105" s="918"/>
      <c r="T105" s="918"/>
      <c r="U105" s="918"/>
      <c r="V105" s="918"/>
      <c r="W105" s="918"/>
      <c r="X105" s="918"/>
      <c r="Y105" s="918"/>
      <c r="Z105" s="918"/>
      <c r="AA105" s="918"/>
      <c r="AB105" s="921"/>
      <c r="AC105" s="918"/>
      <c r="AD105" s="918"/>
      <c r="AE105" s="918"/>
      <c r="AF105" s="918"/>
      <c r="AG105" s="918"/>
      <c r="AH105" s="918"/>
      <c r="AI105" s="918"/>
      <c r="AJ105" s="918"/>
      <c r="AK105" s="918"/>
      <c r="AL105" s="918"/>
      <c r="AM105" s="918"/>
      <c r="AN105" s="918"/>
      <c r="AO105" s="918"/>
      <c r="AP105" s="918"/>
      <c r="AQ105" s="918"/>
      <c r="AR105" s="918"/>
      <c r="AS105" s="918"/>
      <c r="AT105" s="918"/>
      <c r="AU105" s="918"/>
      <c r="AV105" s="918"/>
      <c r="AW105" s="918"/>
    </row>
    <row r="106" spans="4:49" s="919" customFormat="1" x14ac:dyDescent="0.3">
      <c r="D106" s="918"/>
      <c r="E106" s="918"/>
      <c r="F106" s="924"/>
      <c r="G106" s="918"/>
      <c r="H106" s="918"/>
      <c r="I106" s="925"/>
      <c r="J106" s="925"/>
      <c r="K106" s="925"/>
      <c r="L106" s="925"/>
      <c r="M106" s="925"/>
      <c r="N106" s="925"/>
      <c r="O106" s="925"/>
      <c r="P106" s="925"/>
      <c r="Q106" s="925"/>
      <c r="R106" s="925"/>
      <c r="S106" s="925"/>
      <c r="T106" s="925"/>
      <c r="U106" s="925"/>
      <c r="V106" s="925"/>
      <c r="W106" s="925"/>
      <c r="X106" s="925"/>
      <c r="Y106" s="925"/>
      <c r="Z106" s="925"/>
      <c r="AA106" s="925"/>
      <c r="AB106" s="921"/>
      <c r="AC106" s="918"/>
      <c r="AD106" s="918"/>
      <c r="AE106" s="918"/>
      <c r="AF106" s="918"/>
      <c r="AG106" s="918"/>
      <c r="AH106" s="918"/>
      <c r="AI106" s="918"/>
      <c r="AJ106" s="918"/>
      <c r="AK106" s="918"/>
      <c r="AL106" s="918"/>
      <c r="AM106" s="918"/>
      <c r="AN106" s="918"/>
      <c r="AO106" s="918"/>
      <c r="AP106" s="918"/>
      <c r="AQ106" s="918"/>
      <c r="AR106" s="918"/>
      <c r="AS106" s="918"/>
      <c r="AT106" s="918"/>
      <c r="AU106" s="918"/>
      <c r="AV106" s="918"/>
      <c r="AW106" s="918"/>
    </row>
    <row r="107" spans="4:49" s="919" customFormat="1" x14ac:dyDescent="0.3">
      <c r="D107" s="918"/>
      <c r="E107" s="918"/>
      <c r="F107" s="918"/>
      <c r="G107" s="918"/>
      <c r="H107" s="918"/>
      <c r="I107" s="925"/>
      <c r="J107" s="925"/>
      <c r="K107" s="925"/>
      <c r="L107" s="925"/>
      <c r="M107" s="925"/>
      <c r="N107" s="925"/>
      <c r="O107" s="925"/>
      <c r="P107" s="925"/>
      <c r="Q107" s="925"/>
      <c r="R107" s="925"/>
      <c r="S107" s="925"/>
      <c r="T107" s="925"/>
      <c r="U107" s="925"/>
      <c r="V107" s="925"/>
      <c r="W107" s="925"/>
      <c r="X107" s="925"/>
      <c r="Y107" s="925"/>
      <c r="Z107" s="925"/>
      <c r="AA107" s="925"/>
      <c r="AB107" s="921"/>
      <c r="AC107" s="918"/>
      <c r="AD107" s="918"/>
      <c r="AE107" s="918"/>
      <c r="AF107" s="918"/>
      <c r="AG107" s="918"/>
      <c r="AH107" s="918"/>
      <c r="AI107" s="918"/>
      <c r="AJ107" s="918"/>
      <c r="AK107" s="918"/>
      <c r="AL107" s="918"/>
      <c r="AM107" s="918"/>
      <c r="AN107" s="918"/>
      <c r="AO107" s="918"/>
      <c r="AP107" s="918"/>
      <c r="AQ107" s="918"/>
      <c r="AR107" s="918"/>
      <c r="AS107" s="918"/>
      <c r="AT107" s="918"/>
      <c r="AU107" s="918"/>
      <c r="AV107" s="918"/>
      <c r="AW107" s="918"/>
    </row>
    <row r="108" spans="4:49" s="919" customFormat="1" x14ac:dyDescent="0.3">
      <c r="D108" s="918"/>
      <c r="E108" s="918"/>
      <c r="F108" s="918"/>
      <c r="G108" s="918"/>
      <c r="H108" s="918"/>
      <c r="I108" s="925"/>
      <c r="J108" s="925"/>
      <c r="K108" s="925"/>
      <c r="L108" s="925"/>
      <c r="M108" s="925"/>
      <c r="N108" s="925"/>
      <c r="O108" s="925"/>
      <c r="P108" s="925"/>
      <c r="Q108" s="925"/>
      <c r="R108" s="925"/>
      <c r="S108" s="925"/>
      <c r="T108" s="925"/>
      <c r="U108" s="925"/>
      <c r="V108" s="925"/>
      <c r="W108" s="925"/>
      <c r="X108" s="925"/>
      <c r="Y108" s="925"/>
      <c r="Z108" s="925"/>
      <c r="AA108" s="925"/>
      <c r="AB108" s="921"/>
      <c r="AC108" s="918"/>
      <c r="AD108" s="918"/>
      <c r="AE108" s="918"/>
      <c r="AF108" s="918"/>
      <c r="AG108" s="918"/>
      <c r="AH108" s="918"/>
      <c r="AI108" s="918"/>
      <c r="AJ108" s="918"/>
      <c r="AK108" s="918"/>
      <c r="AL108" s="918"/>
      <c r="AM108" s="918"/>
      <c r="AN108" s="918"/>
      <c r="AO108" s="918"/>
      <c r="AP108" s="918"/>
      <c r="AQ108" s="918"/>
      <c r="AR108" s="918"/>
      <c r="AS108" s="918"/>
      <c r="AT108" s="918"/>
      <c r="AU108" s="918"/>
      <c r="AV108" s="918"/>
      <c r="AW108" s="918"/>
    </row>
    <row r="109" spans="4:49" s="919" customFormat="1" x14ac:dyDescent="0.3">
      <c r="D109" s="918"/>
      <c r="E109" s="918"/>
      <c r="F109" s="918"/>
      <c r="G109" s="918"/>
      <c r="H109" s="918"/>
      <c r="I109" s="925"/>
      <c r="J109" s="925"/>
      <c r="K109" s="925"/>
      <c r="L109" s="925"/>
      <c r="M109" s="925"/>
      <c r="N109" s="925"/>
      <c r="O109" s="925"/>
      <c r="P109" s="925"/>
      <c r="Q109" s="925"/>
      <c r="R109" s="925"/>
      <c r="S109" s="925"/>
      <c r="T109" s="925"/>
      <c r="U109" s="925"/>
      <c r="V109" s="925"/>
      <c r="W109" s="925"/>
      <c r="X109" s="925"/>
      <c r="Y109" s="925"/>
      <c r="Z109" s="925"/>
      <c r="AA109" s="925"/>
      <c r="AB109" s="921"/>
      <c r="AC109" s="918"/>
      <c r="AD109" s="918"/>
      <c r="AE109" s="918"/>
      <c r="AF109" s="918"/>
      <c r="AG109" s="918"/>
      <c r="AH109" s="918"/>
      <c r="AI109" s="918"/>
      <c r="AJ109" s="918"/>
      <c r="AK109" s="918"/>
      <c r="AL109" s="918"/>
      <c r="AM109" s="918"/>
      <c r="AN109" s="918"/>
      <c r="AO109" s="918"/>
      <c r="AP109" s="918"/>
      <c r="AQ109" s="918"/>
      <c r="AR109" s="918"/>
      <c r="AS109" s="918"/>
      <c r="AT109" s="918"/>
      <c r="AU109" s="918"/>
      <c r="AV109" s="918"/>
      <c r="AW109" s="918"/>
    </row>
    <row r="110" spans="4:49" s="919" customFormat="1" x14ac:dyDescent="0.3">
      <c r="D110" s="918"/>
      <c r="E110" s="918"/>
      <c r="F110" s="918"/>
      <c r="G110" s="918"/>
      <c r="H110" s="918"/>
      <c r="I110" s="925"/>
      <c r="J110" s="925"/>
      <c r="K110" s="925"/>
      <c r="L110" s="925"/>
      <c r="M110" s="925"/>
      <c r="N110" s="925"/>
      <c r="O110" s="925"/>
      <c r="P110" s="925"/>
      <c r="Q110" s="925"/>
      <c r="R110" s="925"/>
      <c r="S110" s="925"/>
      <c r="T110" s="925"/>
      <c r="U110" s="925"/>
      <c r="V110" s="925"/>
      <c r="W110" s="925"/>
      <c r="X110" s="925"/>
      <c r="Y110" s="925"/>
      <c r="Z110" s="925"/>
      <c r="AA110" s="925"/>
      <c r="AB110" s="921"/>
      <c r="AC110" s="918"/>
      <c r="AD110" s="918"/>
      <c r="AE110" s="918"/>
      <c r="AF110" s="918"/>
      <c r="AG110" s="918"/>
      <c r="AH110" s="918"/>
      <c r="AI110" s="918"/>
      <c r="AJ110" s="918"/>
      <c r="AK110" s="918"/>
      <c r="AL110" s="918"/>
      <c r="AM110" s="918"/>
      <c r="AN110" s="918"/>
      <c r="AO110" s="918"/>
      <c r="AP110" s="918"/>
      <c r="AQ110" s="918"/>
      <c r="AR110" s="918"/>
      <c r="AS110" s="918"/>
      <c r="AT110" s="918"/>
      <c r="AU110" s="918"/>
      <c r="AV110" s="918"/>
      <c r="AW110" s="918"/>
    </row>
    <row r="111" spans="4:49" s="919" customFormat="1" x14ac:dyDescent="0.3">
      <c r="D111" s="918"/>
      <c r="E111" s="918"/>
      <c r="F111" s="921"/>
      <c r="G111" s="921"/>
      <c r="H111" s="921"/>
      <c r="I111" s="921"/>
      <c r="J111" s="921"/>
      <c r="K111" s="921"/>
      <c r="L111" s="921"/>
      <c r="M111" s="921"/>
      <c r="N111" s="921"/>
      <c r="O111" s="921"/>
      <c r="P111" s="921"/>
      <c r="Q111" s="921"/>
      <c r="R111" s="921"/>
      <c r="S111" s="921"/>
      <c r="T111" s="921"/>
      <c r="U111" s="921"/>
      <c r="V111" s="921"/>
      <c r="W111" s="921"/>
      <c r="X111" s="921"/>
      <c r="Y111" s="921"/>
      <c r="Z111" s="921"/>
      <c r="AA111" s="921"/>
      <c r="AB111" s="921"/>
      <c r="AC111" s="918"/>
      <c r="AD111" s="918"/>
      <c r="AE111" s="918"/>
      <c r="AF111" s="918"/>
      <c r="AG111" s="918"/>
      <c r="AH111" s="918"/>
      <c r="AI111" s="918"/>
      <c r="AJ111" s="918"/>
      <c r="AK111" s="918"/>
      <c r="AL111" s="918"/>
      <c r="AM111" s="918"/>
      <c r="AN111" s="918"/>
      <c r="AO111" s="918"/>
      <c r="AP111" s="918"/>
      <c r="AQ111" s="918"/>
      <c r="AR111" s="918"/>
      <c r="AS111" s="918"/>
      <c r="AT111" s="918"/>
      <c r="AU111" s="918"/>
      <c r="AV111" s="918"/>
      <c r="AW111" s="918"/>
    </row>
    <row r="112" spans="4:49" s="919" customFormat="1" x14ac:dyDescent="0.3">
      <c r="D112" s="918"/>
      <c r="E112" s="918"/>
      <c r="F112" s="921"/>
      <c r="G112" s="921"/>
      <c r="H112" s="921"/>
      <c r="I112" s="921"/>
      <c r="J112" s="921"/>
      <c r="K112" s="921"/>
      <c r="L112" s="921"/>
      <c r="M112" s="921"/>
      <c r="N112" s="921"/>
      <c r="O112" s="921"/>
      <c r="P112" s="921"/>
      <c r="Q112" s="921"/>
      <c r="R112" s="921"/>
      <c r="S112" s="921"/>
      <c r="T112" s="921"/>
      <c r="U112" s="921"/>
      <c r="V112" s="921"/>
      <c r="W112" s="921"/>
      <c r="X112" s="921"/>
      <c r="Y112" s="921"/>
      <c r="Z112" s="921"/>
      <c r="AA112" s="921"/>
      <c r="AB112" s="921"/>
      <c r="AC112" s="918"/>
      <c r="AD112" s="918"/>
      <c r="AE112" s="918"/>
      <c r="AF112" s="918"/>
      <c r="AG112" s="918"/>
      <c r="AH112" s="918"/>
      <c r="AI112" s="918"/>
      <c r="AJ112" s="918"/>
      <c r="AK112" s="918"/>
      <c r="AL112" s="918"/>
      <c r="AM112" s="918"/>
      <c r="AN112" s="918"/>
      <c r="AO112" s="918"/>
      <c r="AP112" s="918"/>
      <c r="AQ112" s="918"/>
      <c r="AR112" s="918"/>
      <c r="AS112" s="918"/>
      <c r="AT112" s="918"/>
      <c r="AU112" s="918"/>
      <c r="AV112" s="918"/>
      <c r="AW112" s="918"/>
    </row>
    <row r="113" spans="4:49" s="919" customFormat="1" x14ac:dyDescent="0.3">
      <c r="D113" s="918"/>
      <c r="E113" s="918"/>
      <c r="F113" s="918"/>
      <c r="G113" s="918"/>
      <c r="H113" s="918"/>
      <c r="I113" s="918"/>
      <c r="J113" s="918"/>
      <c r="K113" s="918"/>
      <c r="L113" s="918"/>
      <c r="M113" s="918"/>
      <c r="N113" s="918"/>
      <c r="O113" s="918"/>
      <c r="P113" s="918"/>
      <c r="Q113" s="918"/>
      <c r="R113" s="918"/>
      <c r="S113" s="918"/>
      <c r="T113" s="918"/>
      <c r="U113" s="918"/>
      <c r="V113" s="918"/>
      <c r="W113" s="918"/>
      <c r="X113" s="918"/>
      <c r="Y113" s="918"/>
      <c r="Z113" s="918"/>
      <c r="AA113" s="918"/>
      <c r="AB113" s="918"/>
      <c r="AC113" s="918"/>
      <c r="AD113" s="918"/>
      <c r="AE113" s="918"/>
      <c r="AF113" s="918"/>
      <c r="AG113" s="918"/>
      <c r="AH113" s="918"/>
      <c r="AI113" s="918"/>
      <c r="AJ113" s="918"/>
      <c r="AK113" s="918"/>
      <c r="AL113" s="918"/>
      <c r="AM113" s="918"/>
      <c r="AN113" s="918"/>
      <c r="AO113" s="918"/>
      <c r="AP113" s="918"/>
      <c r="AQ113" s="918"/>
      <c r="AR113" s="918"/>
      <c r="AS113" s="918"/>
      <c r="AT113" s="918"/>
      <c r="AU113" s="918"/>
      <c r="AV113" s="918"/>
      <c r="AW113" s="918"/>
    </row>
    <row r="114" spans="4:49" s="919" customFormat="1" x14ac:dyDescent="0.3">
      <c r="D114" s="918"/>
      <c r="E114" s="918"/>
      <c r="F114" s="918"/>
      <c r="G114" s="918"/>
      <c r="H114" s="918"/>
      <c r="I114" s="918"/>
      <c r="J114" s="918"/>
      <c r="K114" s="918"/>
      <c r="L114" s="918"/>
      <c r="M114" s="918"/>
      <c r="N114" s="918"/>
      <c r="O114" s="918"/>
      <c r="P114" s="918"/>
      <c r="Q114" s="918"/>
      <c r="R114" s="918"/>
      <c r="S114" s="918"/>
      <c r="T114" s="918"/>
      <c r="U114" s="918"/>
      <c r="V114" s="918"/>
      <c r="W114" s="918"/>
      <c r="X114" s="918"/>
      <c r="Y114" s="918"/>
      <c r="Z114" s="918"/>
      <c r="AA114" s="918"/>
      <c r="AB114" s="918"/>
      <c r="AC114" s="918"/>
      <c r="AD114" s="918"/>
      <c r="AE114" s="918"/>
      <c r="AF114" s="918"/>
      <c r="AG114" s="918"/>
      <c r="AH114" s="918"/>
      <c r="AI114" s="918"/>
      <c r="AJ114" s="918"/>
      <c r="AK114" s="918"/>
      <c r="AL114" s="918"/>
      <c r="AM114" s="918"/>
      <c r="AN114" s="918"/>
      <c r="AO114" s="918"/>
      <c r="AP114" s="918"/>
      <c r="AQ114" s="918"/>
      <c r="AR114" s="918"/>
      <c r="AS114" s="918"/>
      <c r="AT114" s="918"/>
      <c r="AU114" s="918"/>
      <c r="AV114" s="918"/>
      <c r="AW114" s="918"/>
    </row>
    <row r="115" spans="4:49" s="919" customFormat="1" x14ac:dyDescent="0.3">
      <c r="D115" s="918"/>
      <c r="E115" s="918"/>
      <c r="F115" s="924"/>
      <c r="G115" s="918"/>
      <c r="H115" s="918"/>
      <c r="I115" s="925"/>
      <c r="J115" s="925"/>
      <c r="K115" s="925"/>
      <c r="L115" s="925"/>
      <c r="M115" s="925"/>
      <c r="N115" s="925"/>
      <c r="O115" s="925"/>
      <c r="P115" s="925"/>
      <c r="Q115" s="925"/>
      <c r="R115" s="925"/>
      <c r="S115" s="925"/>
      <c r="T115" s="925"/>
      <c r="U115" s="925"/>
      <c r="V115" s="925"/>
      <c r="W115" s="925"/>
      <c r="X115" s="925"/>
      <c r="Y115" s="925"/>
      <c r="Z115" s="925"/>
      <c r="AA115" s="925"/>
      <c r="AB115" s="918"/>
      <c r="AC115" s="918"/>
      <c r="AD115" s="918"/>
      <c r="AE115" s="918"/>
      <c r="AF115" s="918"/>
      <c r="AG115" s="918"/>
      <c r="AH115" s="918"/>
      <c r="AI115" s="918"/>
      <c r="AJ115" s="918"/>
      <c r="AK115" s="918"/>
      <c r="AL115" s="918"/>
      <c r="AM115" s="918"/>
      <c r="AN115" s="918"/>
      <c r="AO115" s="918"/>
      <c r="AP115" s="918"/>
      <c r="AQ115" s="918"/>
      <c r="AR115" s="918"/>
      <c r="AS115" s="918"/>
      <c r="AT115" s="918"/>
      <c r="AU115" s="918"/>
      <c r="AV115" s="918"/>
      <c r="AW115" s="918"/>
    </row>
    <row r="116" spans="4:49" s="919" customFormat="1" x14ac:dyDescent="0.3">
      <c r="D116" s="918"/>
      <c r="E116" s="918"/>
      <c r="F116" s="918"/>
      <c r="G116" s="918"/>
      <c r="H116" s="918"/>
      <c r="I116" s="925"/>
      <c r="J116" s="925"/>
      <c r="K116" s="925"/>
      <c r="L116" s="925"/>
      <c r="M116" s="925"/>
      <c r="N116" s="925"/>
      <c r="O116" s="925"/>
      <c r="P116" s="925"/>
      <c r="Q116" s="925"/>
      <c r="R116" s="925"/>
      <c r="S116" s="925"/>
      <c r="T116" s="925"/>
      <c r="U116" s="925"/>
      <c r="V116" s="925"/>
      <c r="W116" s="925"/>
      <c r="X116" s="925"/>
      <c r="Y116" s="925"/>
      <c r="Z116" s="925"/>
      <c r="AA116" s="925"/>
      <c r="AB116" s="918"/>
      <c r="AC116" s="918"/>
      <c r="AD116" s="918"/>
      <c r="AE116" s="918"/>
      <c r="AF116" s="918"/>
      <c r="AG116" s="918"/>
      <c r="AH116" s="918"/>
      <c r="AI116" s="918"/>
      <c r="AJ116" s="918"/>
      <c r="AK116" s="918"/>
      <c r="AL116" s="918"/>
      <c r="AM116" s="918"/>
      <c r="AN116" s="918"/>
      <c r="AO116" s="918"/>
      <c r="AP116" s="918"/>
      <c r="AQ116" s="918"/>
      <c r="AR116" s="918"/>
      <c r="AS116" s="918"/>
      <c r="AT116" s="918"/>
      <c r="AU116" s="918"/>
      <c r="AV116" s="918"/>
      <c r="AW116" s="918"/>
    </row>
    <row r="117" spans="4:49" s="919" customFormat="1" x14ac:dyDescent="0.3">
      <c r="D117" s="918"/>
      <c r="E117" s="918"/>
      <c r="F117" s="918"/>
      <c r="G117" s="918"/>
      <c r="H117" s="918"/>
      <c r="I117" s="925"/>
      <c r="J117" s="925"/>
      <c r="K117" s="925"/>
      <c r="L117" s="925"/>
      <c r="M117" s="925"/>
      <c r="N117" s="925"/>
      <c r="O117" s="925"/>
      <c r="P117" s="925"/>
      <c r="Q117" s="925"/>
      <c r="R117" s="925"/>
      <c r="S117" s="925"/>
      <c r="T117" s="925"/>
      <c r="U117" s="925"/>
      <c r="V117" s="925"/>
      <c r="W117" s="925"/>
      <c r="X117" s="925"/>
      <c r="Y117" s="925"/>
      <c r="Z117" s="925"/>
      <c r="AA117" s="925"/>
      <c r="AB117" s="918"/>
      <c r="AC117" s="918"/>
      <c r="AD117" s="918"/>
      <c r="AE117" s="918"/>
      <c r="AF117" s="918"/>
      <c r="AG117" s="918"/>
      <c r="AH117" s="918"/>
      <c r="AI117" s="918"/>
      <c r="AJ117" s="918"/>
      <c r="AK117" s="918"/>
      <c r="AL117" s="918"/>
      <c r="AM117" s="918"/>
      <c r="AN117" s="918"/>
      <c r="AO117" s="918"/>
      <c r="AP117" s="918"/>
      <c r="AQ117" s="918"/>
      <c r="AR117" s="918"/>
      <c r="AS117" s="918"/>
      <c r="AT117" s="918"/>
      <c r="AU117" s="918"/>
      <c r="AV117" s="918"/>
      <c r="AW117" s="918"/>
    </row>
    <row r="118" spans="4:49" s="919" customFormat="1" x14ac:dyDescent="0.3">
      <c r="D118" s="918"/>
      <c r="E118" s="918"/>
      <c r="F118" s="918"/>
      <c r="G118" s="918"/>
      <c r="H118" s="918"/>
      <c r="I118" s="925"/>
      <c r="J118" s="925"/>
      <c r="K118" s="925"/>
      <c r="L118" s="925"/>
      <c r="M118" s="925"/>
      <c r="N118" s="925"/>
      <c r="O118" s="925"/>
      <c r="P118" s="925"/>
      <c r="Q118" s="925"/>
      <c r="R118" s="925"/>
      <c r="S118" s="925"/>
      <c r="T118" s="925"/>
      <c r="U118" s="925"/>
      <c r="V118" s="925"/>
      <c r="W118" s="925"/>
      <c r="X118" s="925"/>
      <c r="Y118" s="925"/>
      <c r="Z118" s="925"/>
      <c r="AA118" s="925"/>
      <c r="AB118" s="918"/>
      <c r="AC118" s="918"/>
      <c r="AD118" s="918"/>
      <c r="AE118" s="918"/>
      <c r="AF118" s="918"/>
      <c r="AG118" s="918"/>
      <c r="AH118" s="918"/>
      <c r="AI118" s="918"/>
      <c r="AJ118" s="918"/>
      <c r="AK118" s="918"/>
      <c r="AL118" s="918"/>
      <c r="AM118" s="918"/>
      <c r="AN118" s="918"/>
      <c r="AO118" s="918"/>
      <c r="AP118" s="918"/>
      <c r="AQ118" s="918"/>
      <c r="AR118" s="918"/>
      <c r="AS118" s="918"/>
      <c r="AT118" s="918"/>
      <c r="AU118" s="918"/>
      <c r="AV118" s="918"/>
      <c r="AW118" s="918"/>
    </row>
    <row r="119" spans="4:49" s="919" customFormat="1" x14ac:dyDescent="0.3">
      <c r="D119" s="918"/>
      <c r="E119" s="918"/>
      <c r="F119" s="918"/>
      <c r="G119" s="918"/>
      <c r="H119" s="918"/>
      <c r="I119" s="925"/>
      <c r="J119" s="925"/>
      <c r="K119" s="925"/>
      <c r="L119" s="925"/>
      <c r="M119" s="925"/>
      <c r="N119" s="925"/>
      <c r="O119" s="925"/>
      <c r="P119" s="925"/>
      <c r="Q119" s="925"/>
      <c r="R119" s="925"/>
      <c r="S119" s="925"/>
      <c r="T119" s="925"/>
      <c r="U119" s="925"/>
      <c r="V119" s="925"/>
      <c r="W119" s="925"/>
      <c r="X119" s="925"/>
      <c r="Y119" s="925"/>
      <c r="Z119" s="925"/>
      <c r="AA119" s="925"/>
      <c r="AB119" s="918"/>
      <c r="AC119" s="918"/>
      <c r="AD119" s="918"/>
      <c r="AE119" s="918"/>
      <c r="AF119" s="918"/>
      <c r="AG119" s="918"/>
      <c r="AH119" s="918"/>
      <c r="AI119" s="918"/>
      <c r="AJ119" s="918"/>
      <c r="AK119" s="918"/>
      <c r="AL119" s="918"/>
      <c r="AM119" s="918"/>
      <c r="AN119" s="918"/>
      <c r="AO119" s="918"/>
      <c r="AP119" s="918"/>
      <c r="AQ119" s="918"/>
      <c r="AR119" s="918"/>
      <c r="AS119" s="918"/>
      <c r="AT119" s="918"/>
      <c r="AU119" s="918"/>
      <c r="AV119" s="918"/>
      <c r="AW119" s="918"/>
    </row>
    <row r="120" spans="4:49" s="919" customFormat="1" x14ac:dyDescent="0.3">
      <c r="D120" s="926"/>
      <c r="E120" s="926"/>
      <c r="F120" s="927"/>
      <c r="G120" s="928"/>
      <c r="H120" s="929"/>
      <c r="I120" s="928"/>
      <c r="J120" s="928"/>
      <c r="K120" s="928"/>
      <c r="L120" s="928"/>
      <c r="M120" s="928"/>
      <c r="N120" s="928"/>
      <c r="O120" s="928"/>
      <c r="P120" s="928"/>
      <c r="Q120" s="928"/>
      <c r="R120" s="928"/>
      <c r="S120" s="928"/>
      <c r="T120" s="928"/>
      <c r="U120" s="928"/>
      <c r="V120" s="928"/>
      <c r="W120" s="928"/>
      <c r="X120" s="928"/>
      <c r="Y120" s="928"/>
      <c r="Z120" s="928"/>
      <c r="AA120" s="928"/>
      <c r="AB120" s="928"/>
      <c r="AC120" s="928"/>
      <c r="AD120" s="928"/>
      <c r="AE120" s="928"/>
      <c r="AF120" s="928"/>
      <c r="AG120" s="928"/>
      <c r="AH120" s="928"/>
      <c r="AI120" s="928"/>
      <c r="AJ120" s="928"/>
      <c r="AK120" s="918"/>
      <c r="AL120" s="918"/>
      <c r="AM120" s="918"/>
      <c r="AN120" s="918"/>
      <c r="AO120" s="918"/>
      <c r="AP120" s="918"/>
      <c r="AQ120" s="918"/>
      <c r="AR120" s="918"/>
      <c r="AS120" s="918"/>
      <c r="AT120" s="918"/>
      <c r="AU120" s="918"/>
      <c r="AV120" s="918"/>
      <c r="AW120" s="918"/>
    </row>
    <row r="121" spans="4:49" s="919" customFormat="1" x14ac:dyDescent="0.3">
      <c r="D121" s="918"/>
      <c r="E121" s="918"/>
      <c r="F121" s="918"/>
      <c r="G121" s="928"/>
      <c r="H121" s="930"/>
      <c r="I121" s="531"/>
      <c r="J121" s="531"/>
      <c r="K121" s="531"/>
      <c r="L121" s="531"/>
      <c r="M121" s="531"/>
      <c r="N121" s="531"/>
      <c r="O121" s="531"/>
      <c r="P121" s="531"/>
      <c r="Q121" s="531"/>
      <c r="R121" s="531"/>
      <c r="S121" s="531"/>
      <c r="T121" s="531"/>
      <c r="U121" s="531"/>
      <c r="V121" s="531"/>
      <c r="W121" s="531"/>
      <c r="X121" s="531"/>
      <c r="Y121" s="531"/>
      <c r="Z121" s="531"/>
      <c r="AA121" s="531"/>
      <c r="AB121" s="531"/>
      <c r="AC121" s="531"/>
      <c r="AD121" s="531"/>
      <c r="AE121" s="531"/>
      <c r="AF121" s="531"/>
      <c r="AG121" s="531"/>
      <c r="AH121" s="928"/>
      <c r="AI121" s="928"/>
      <c r="AJ121" s="928"/>
      <c r="AK121" s="918"/>
      <c r="AL121" s="918"/>
      <c r="AM121" s="918"/>
      <c r="AN121" s="918"/>
      <c r="AO121" s="918"/>
      <c r="AP121" s="918"/>
      <c r="AQ121" s="918"/>
      <c r="AR121" s="918"/>
      <c r="AS121" s="918"/>
      <c r="AT121" s="918"/>
      <c r="AU121" s="918"/>
      <c r="AV121" s="918"/>
      <c r="AW121" s="918"/>
    </row>
    <row r="122" spans="4:49" s="919" customFormat="1" x14ac:dyDescent="0.3">
      <c r="D122" s="918"/>
      <c r="E122" s="918"/>
      <c r="F122" s="918"/>
      <c r="G122" s="931"/>
      <c r="H122" s="931"/>
      <c r="I122" s="932"/>
      <c r="J122" s="932"/>
      <c r="K122" s="932"/>
      <c r="L122" s="932"/>
      <c r="M122" s="932"/>
      <c r="N122" s="932"/>
      <c r="O122" s="932"/>
      <c r="P122" s="932"/>
      <c r="Q122" s="932"/>
      <c r="R122" s="932"/>
      <c r="S122" s="932"/>
      <c r="T122" s="932"/>
      <c r="U122" s="932"/>
      <c r="V122" s="932"/>
      <c r="W122" s="932"/>
      <c r="X122" s="932"/>
      <c r="Y122" s="932"/>
      <c r="Z122" s="932"/>
      <c r="AA122" s="932"/>
      <c r="AB122" s="932"/>
      <c r="AC122" s="932"/>
      <c r="AD122" s="932"/>
      <c r="AE122" s="932"/>
      <c r="AF122" s="932"/>
      <c r="AG122" s="932"/>
      <c r="AH122" s="928"/>
      <c r="AI122" s="928"/>
      <c r="AJ122" s="928"/>
      <c r="AK122" s="918"/>
      <c r="AL122" s="918"/>
      <c r="AM122" s="918"/>
      <c r="AN122" s="918"/>
      <c r="AO122" s="918"/>
      <c r="AP122" s="918"/>
      <c r="AQ122" s="918"/>
      <c r="AR122" s="918"/>
      <c r="AS122" s="918"/>
      <c r="AT122" s="918"/>
      <c r="AU122" s="918"/>
      <c r="AV122" s="918"/>
      <c r="AW122" s="918"/>
    </row>
    <row r="123" spans="4:49" s="919" customFormat="1" x14ac:dyDescent="0.3">
      <c r="D123" s="918"/>
      <c r="E123" s="531"/>
      <c r="F123" s="918"/>
      <c r="G123" s="918"/>
      <c r="H123" s="918"/>
      <c r="I123" s="918"/>
      <c r="J123" s="918"/>
      <c r="K123" s="918"/>
      <c r="L123" s="918"/>
      <c r="M123" s="918"/>
      <c r="N123" s="918"/>
      <c r="O123" s="918"/>
      <c r="P123" s="918"/>
      <c r="Q123" s="918"/>
      <c r="R123" s="918"/>
      <c r="S123" s="918"/>
      <c r="T123" s="918"/>
      <c r="U123" s="918"/>
      <c r="V123" s="918"/>
      <c r="W123" s="918"/>
      <c r="X123" s="918"/>
      <c r="Y123" s="918"/>
      <c r="Z123" s="918"/>
      <c r="AA123" s="918"/>
      <c r="AB123" s="918"/>
      <c r="AC123" s="918"/>
      <c r="AD123" s="918"/>
      <c r="AE123" s="918"/>
      <c r="AF123" s="918"/>
      <c r="AG123" s="918"/>
      <c r="AH123" s="918"/>
      <c r="AI123" s="918"/>
      <c r="AJ123" s="918"/>
      <c r="AK123" s="918"/>
      <c r="AL123" s="918"/>
      <c r="AM123" s="918"/>
      <c r="AN123" s="918"/>
      <c r="AO123" s="918"/>
      <c r="AP123" s="918"/>
      <c r="AQ123" s="918"/>
      <c r="AR123" s="918"/>
      <c r="AS123" s="918"/>
      <c r="AT123" s="918"/>
      <c r="AU123" s="918"/>
      <c r="AV123" s="918"/>
      <c r="AW123" s="918"/>
    </row>
    <row r="124" spans="4:49" s="919" customFormat="1" x14ac:dyDescent="0.3">
      <c r="D124" s="933"/>
      <c r="E124" s="934"/>
      <c r="F124" s="921"/>
      <c r="G124" s="532"/>
      <c r="H124" s="921"/>
      <c r="I124" s="935"/>
      <c r="J124" s="935"/>
      <c r="K124" s="935"/>
      <c r="L124" s="935"/>
      <c r="M124" s="935"/>
      <c r="N124" s="935"/>
      <c r="O124" s="935"/>
      <c r="P124" s="935"/>
      <c r="Q124" s="935"/>
      <c r="R124" s="935"/>
      <c r="S124" s="935"/>
      <c r="T124" s="935"/>
      <c r="U124" s="935"/>
      <c r="V124" s="935"/>
      <c r="W124" s="935"/>
      <c r="X124" s="935"/>
      <c r="Y124" s="935"/>
      <c r="Z124" s="935"/>
      <c r="AA124" s="935"/>
      <c r="AB124" s="935"/>
      <c r="AC124" s="935"/>
      <c r="AD124" s="935"/>
      <c r="AE124" s="935"/>
      <c r="AF124" s="935"/>
      <c r="AG124" s="935"/>
      <c r="AH124" s="935"/>
      <c r="AI124" s="935"/>
      <c r="AJ124" s="935"/>
      <c r="AK124" s="935"/>
      <c r="AL124" s="935"/>
      <c r="AM124" s="935"/>
      <c r="AN124" s="935"/>
      <c r="AO124" s="935"/>
      <c r="AP124" s="935"/>
      <c r="AQ124" s="935"/>
      <c r="AR124" s="935"/>
      <c r="AS124" s="935"/>
      <c r="AT124" s="935"/>
      <c r="AU124" s="935"/>
      <c r="AV124" s="935"/>
      <c r="AW124" s="935"/>
    </row>
    <row r="125" spans="4:49" s="919" customFormat="1" x14ac:dyDescent="0.3">
      <c r="D125" s="933"/>
      <c r="E125" s="934"/>
      <c r="F125" s="918"/>
      <c r="G125" s="532"/>
      <c r="H125" s="921"/>
      <c r="I125" s="935"/>
      <c r="J125" s="935"/>
      <c r="K125" s="935"/>
      <c r="L125" s="935"/>
      <c r="M125" s="935"/>
      <c r="N125" s="935"/>
      <c r="O125" s="935"/>
      <c r="P125" s="935"/>
      <c r="Q125" s="935"/>
      <c r="R125" s="935"/>
      <c r="S125" s="935"/>
      <c r="T125" s="935"/>
      <c r="U125" s="935"/>
      <c r="V125" s="935"/>
      <c r="W125" s="935"/>
      <c r="X125" s="935"/>
      <c r="Y125" s="935"/>
      <c r="Z125" s="935"/>
      <c r="AA125" s="935"/>
      <c r="AB125" s="935"/>
      <c r="AC125" s="935"/>
      <c r="AD125" s="935"/>
      <c r="AE125" s="935"/>
      <c r="AF125" s="935"/>
      <c r="AG125" s="935"/>
      <c r="AH125" s="935"/>
      <c r="AI125" s="935"/>
      <c r="AJ125" s="935"/>
      <c r="AK125" s="935"/>
      <c r="AL125" s="935"/>
      <c r="AM125" s="935"/>
      <c r="AN125" s="935"/>
      <c r="AO125" s="935"/>
      <c r="AP125" s="935"/>
      <c r="AQ125" s="935"/>
      <c r="AR125" s="935"/>
      <c r="AS125" s="935"/>
      <c r="AT125" s="935"/>
      <c r="AU125" s="935"/>
      <c r="AV125" s="935"/>
      <c r="AW125" s="935"/>
    </row>
    <row r="126" spans="4:49" s="919" customFormat="1" x14ac:dyDescent="0.3">
      <c r="D126" s="933"/>
      <c r="E126" s="934"/>
      <c r="F126" s="918"/>
      <c r="G126" s="918"/>
      <c r="H126" s="921"/>
      <c r="I126" s="935"/>
      <c r="J126" s="935"/>
      <c r="K126" s="935"/>
      <c r="L126" s="935"/>
      <c r="M126" s="935"/>
      <c r="N126" s="935"/>
      <c r="O126" s="935"/>
      <c r="P126" s="935"/>
      <c r="Q126" s="935"/>
      <c r="R126" s="935"/>
      <c r="S126" s="935"/>
      <c r="T126" s="935"/>
      <c r="U126" s="935"/>
      <c r="V126" s="935"/>
      <c r="W126" s="935"/>
      <c r="X126" s="935"/>
      <c r="Y126" s="935"/>
      <c r="Z126" s="935"/>
      <c r="AA126" s="935"/>
      <c r="AB126" s="935"/>
      <c r="AC126" s="935"/>
      <c r="AD126" s="935"/>
      <c r="AE126" s="935"/>
      <c r="AF126" s="935"/>
      <c r="AG126" s="935"/>
      <c r="AH126" s="935"/>
      <c r="AI126" s="935"/>
      <c r="AJ126" s="935"/>
      <c r="AK126" s="935"/>
      <c r="AL126" s="935"/>
      <c r="AM126" s="935"/>
      <c r="AN126" s="935"/>
      <c r="AO126" s="935"/>
      <c r="AP126" s="935"/>
      <c r="AQ126" s="935"/>
      <c r="AR126" s="935"/>
      <c r="AS126" s="935"/>
      <c r="AT126" s="935"/>
      <c r="AU126" s="935"/>
      <c r="AV126" s="935"/>
      <c r="AW126" s="935"/>
    </row>
    <row r="127" spans="4:49" s="919" customFormat="1" ht="22.5" customHeight="1" x14ac:dyDescent="0.3">
      <c r="D127" s="933"/>
      <c r="E127" s="918"/>
      <c r="F127" s="918"/>
      <c r="G127" s="918"/>
      <c r="H127" s="936"/>
      <c r="I127" s="936"/>
      <c r="J127" s="936"/>
      <c r="K127" s="936"/>
      <c r="L127" s="936"/>
      <c r="M127" s="936"/>
      <c r="N127" s="936"/>
      <c r="O127" s="936"/>
      <c r="P127" s="936"/>
      <c r="Q127" s="918"/>
      <c r="R127" s="918"/>
      <c r="S127" s="918"/>
      <c r="T127" s="918"/>
      <c r="U127" s="918"/>
      <c r="V127" s="918"/>
      <c r="W127" s="918"/>
      <c r="X127" s="918"/>
      <c r="Y127" s="918"/>
      <c r="Z127" s="918"/>
      <c r="AA127" s="918"/>
      <c r="AB127" s="918"/>
      <c r="AC127" s="918"/>
      <c r="AD127" s="918"/>
      <c r="AE127" s="918"/>
      <c r="AF127" s="918"/>
      <c r="AG127" s="918"/>
      <c r="AH127" s="918"/>
      <c r="AI127" s="918"/>
      <c r="AJ127" s="918"/>
      <c r="AK127" s="918"/>
      <c r="AL127" s="918"/>
      <c r="AM127" s="918"/>
      <c r="AN127" s="918"/>
      <c r="AO127" s="918"/>
      <c r="AP127" s="918"/>
      <c r="AQ127" s="918"/>
      <c r="AR127" s="918"/>
      <c r="AS127" s="918"/>
      <c r="AT127" s="918"/>
      <c r="AU127" s="918"/>
      <c r="AV127" s="918"/>
      <c r="AW127" s="918"/>
    </row>
    <row r="128" spans="4:49" s="919" customFormat="1" x14ac:dyDescent="0.3">
      <c r="D128" s="918"/>
      <c r="E128" s="918"/>
      <c r="F128" s="918"/>
      <c r="G128" s="918"/>
      <c r="H128" s="918"/>
      <c r="I128" s="918"/>
      <c r="J128" s="918"/>
      <c r="K128" s="918"/>
      <c r="L128" s="918"/>
      <c r="M128" s="918"/>
      <c r="N128" s="918"/>
      <c r="O128" s="918"/>
      <c r="P128" s="918"/>
      <c r="Q128" s="918"/>
      <c r="R128" s="918"/>
      <c r="S128" s="918"/>
      <c r="T128" s="918"/>
      <c r="U128" s="918"/>
      <c r="V128" s="918"/>
      <c r="W128" s="918"/>
      <c r="X128" s="918"/>
      <c r="Y128" s="918"/>
      <c r="Z128" s="918"/>
      <c r="AA128" s="918"/>
      <c r="AB128" s="918"/>
      <c r="AC128" s="918"/>
      <c r="AD128" s="918"/>
      <c r="AE128" s="918"/>
      <c r="AF128" s="918"/>
      <c r="AG128" s="918"/>
      <c r="AH128" s="918"/>
      <c r="AI128" s="918"/>
      <c r="AJ128" s="918"/>
      <c r="AK128" s="918"/>
      <c r="AL128" s="918"/>
      <c r="AM128" s="918"/>
      <c r="AN128" s="918"/>
      <c r="AO128" s="918"/>
      <c r="AP128" s="918"/>
      <c r="AQ128" s="918"/>
      <c r="AR128" s="918"/>
      <c r="AS128" s="918"/>
      <c r="AT128" s="918"/>
      <c r="AU128" s="918"/>
      <c r="AV128" s="918"/>
      <c r="AW128" s="918"/>
    </row>
    <row r="129" spans="4:49" s="919" customFormat="1" x14ac:dyDescent="0.3">
      <c r="D129" s="933"/>
      <c r="E129" s="531"/>
      <c r="F129" s="918"/>
      <c r="G129" s="918"/>
      <c r="H129" s="920"/>
      <c r="I129" s="920"/>
      <c r="J129" s="920"/>
      <c r="K129" s="920"/>
      <c r="L129" s="920"/>
      <c r="M129" s="920"/>
      <c r="N129" s="920"/>
      <c r="O129" s="920"/>
      <c r="P129" s="920"/>
      <c r="Q129" s="920"/>
      <c r="R129" s="920"/>
      <c r="S129" s="920"/>
      <c r="T129" s="920"/>
      <c r="U129" s="920"/>
      <c r="V129" s="920"/>
      <c r="W129" s="920"/>
      <c r="X129" s="920"/>
      <c r="Y129" s="920"/>
      <c r="Z129" s="920"/>
      <c r="AA129" s="920"/>
      <c r="AB129" s="920"/>
      <c r="AC129" s="920"/>
      <c r="AD129" s="920"/>
      <c r="AE129" s="920"/>
      <c r="AF129" s="920"/>
      <c r="AG129" s="920"/>
      <c r="AH129" s="920"/>
      <c r="AI129" s="920"/>
      <c r="AJ129" s="920"/>
      <c r="AK129" s="920"/>
      <c r="AL129" s="920"/>
      <c r="AM129" s="920"/>
      <c r="AN129" s="920"/>
      <c r="AO129" s="920"/>
      <c r="AP129" s="920"/>
      <c r="AQ129" s="920"/>
      <c r="AR129" s="920"/>
      <c r="AS129" s="920"/>
      <c r="AT129" s="920"/>
      <c r="AU129" s="920"/>
      <c r="AV129" s="920"/>
      <c r="AW129" s="920"/>
    </row>
    <row r="130" spans="4:49" s="919" customFormat="1" x14ac:dyDescent="0.3">
      <c r="D130" s="933"/>
      <c r="E130" s="934"/>
      <c r="F130" s="918"/>
      <c r="G130" s="532"/>
      <c r="H130" s="918"/>
      <c r="I130" s="921"/>
      <c r="J130" s="921"/>
      <c r="K130" s="921"/>
      <c r="L130" s="921"/>
      <c r="M130" s="921"/>
      <c r="N130" s="921"/>
      <c r="O130" s="921"/>
      <c r="P130" s="921"/>
      <c r="Q130" s="921"/>
      <c r="R130" s="921"/>
      <c r="S130" s="921"/>
      <c r="T130" s="921"/>
      <c r="U130" s="921"/>
      <c r="V130" s="921"/>
      <c r="W130" s="921"/>
      <c r="X130" s="921"/>
      <c r="Y130" s="921"/>
      <c r="Z130" s="921"/>
      <c r="AA130" s="921"/>
      <c r="AB130" s="921"/>
      <c r="AC130" s="921"/>
      <c r="AD130" s="921"/>
      <c r="AE130" s="921"/>
      <c r="AF130" s="921"/>
      <c r="AG130" s="921"/>
      <c r="AH130" s="921"/>
      <c r="AI130" s="921"/>
      <c r="AJ130" s="921"/>
      <c r="AK130" s="921"/>
      <c r="AL130" s="921"/>
      <c r="AM130" s="921"/>
      <c r="AN130" s="921"/>
      <c r="AO130" s="921"/>
      <c r="AP130" s="921"/>
      <c r="AQ130" s="921"/>
      <c r="AR130" s="921"/>
      <c r="AS130" s="921"/>
      <c r="AT130" s="921"/>
      <c r="AU130" s="921"/>
      <c r="AV130" s="921"/>
      <c r="AW130" s="921"/>
    </row>
    <row r="131" spans="4:49" s="919" customFormat="1" x14ac:dyDescent="0.3">
      <c r="D131" s="933"/>
      <c r="E131" s="934"/>
      <c r="F131" s="918"/>
      <c r="G131" s="532"/>
      <c r="H131" s="918"/>
      <c r="I131" s="921"/>
      <c r="J131" s="921"/>
      <c r="K131" s="921"/>
      <c r="L131" s="921"/>
      <c r="M131" s="921"/>
      <c r="N131" s="921"/>
      <c r="O131" s="921"/>
      <c r="P131" s="921"/>
      <c r="Q131" s="921"/>
      <c r="R131" s="921"/>
      <c r="S131" s="921"/>
      <c r="T131" s="921"/>
      <c r="U131" s="921"/>
      <c r="V131" s="921"/>
      <c r="W131" s="921"/>
      <c r="X131" s="921"/>
      <c r="Y131" s="921"/>
      <c r="Z131" s="921"/>
      <c r="AA131" s="921"/>
      <c r="AB131" s="921"/>
      <c r="AC131" s="921"/>
      <c r="AD131" s="921"/>
      <c r="AE131" s="921"/>
      <c r="AF131" s="921"/>
      <c r="AG131" s="921"/>
      <c r="AH131" s="921"/>
      <c r="AI131" s="921"/>
      <c r="AJ131" s="921"/>
      <c r="AK131" s="921"/>
      <c r="AL131" s="921"/>
      <c r="AM131" s="921"/>
      <c r="AN131" s="921"/>
      <c r="AO131" s="921"/>
      <c r="AP131" s="921"/>
      <c r="AQ131" s="921"/>
      <c r="AR131" s="921"/>
      <c r="AS131" s="921"/>
      <c r="AT131" s="921"/>
      <c r="AU131" s="921"/>
      <c r="AV131" s="921"/>
      <c r="AW131" s="921"/>
    </row>
    <row r="132" spans="4:49" s="919" customFormat="1" x14ac:dyDescent="0.3">
      <c r="D132" s="933"/>
      <c r="E132" s="934"/>
      <c r="F132" s="918"/>
      <c r="G132" s="918"/>
      <c r="H132" s="918"/>
      <c r="I132" s="921"/>
      <c r="J132" s="921"/>
      <c r="K132" s="921"/>
      <c r="L132" s="921"/>
      <c r="M132" s="921"/>
      <c r="N132" s="921"/>
      <c r="O132" s="921"/>
      <c r="P132" s="921"/>
      <c r="Q132" s="921"/>
      <c r="R132" s="921"/>
      <c r="S132" s="921"/>
      <c r="T132" s="921"/>
      <c r="U132" s="921"/>
      <c r="V132" s="921"/>
      <c r="W132" s="921"/>
      <c r="X132" s="921"/>
      <c r="Y132" s="921"/>
      <c r="Z132" s="921"/>
      <c r="AA132" s="921"/>
      <c r="AB132" s="921"/>
      <c r="AC132" s="921"/>
      <c r="AD132" s="921"/>
      <c r="AE132" s="921"/>
      <c r="AF132" s="921"/>
      <c r="AG132" s="921"/>
      <c r="AH132" s="921"/>
      <c r="AI132" s="921"/>
      <c r="AJ132" s="921"/>
      <c r="AK132" s="921"/>
      <c r="AL132" s="921"/>
      <c r="AM132" s="921"/>
      <c r="AN132" s="921"/>
      <c r="AO132" s="921"/>
      <c r="AP132" s="921"/>
      <c r="AQ132" s="921"/>
      <c r="AR132" s="921"/>
      <c r="AS132" s="921"/>
      <c r="AT132" s="921"/>
      <c r="AU132" s="921"/>
      <c r="AV132" s="921"/>
      <c r="AW132" s="921"/>
    </row>
    <row r="133" spans="4:49" s="919" customFormat="1" x14ac:dyDescent="0.3">
      <c r="D133" s="933"/>
      <c r="E133" s="918"/>
      <c r="F133" s="918"/>
      <c r="G133" s="918"/>
      <c r="H133" s="918"/>
      <c r="I133" s="918"/>
      <c r="J133" s="918"/>
      <c r="K133" s="918"/>
      <c r="L133" s="918"/>
      <c r="M133" s="918"/>
      <c r="N133" s="918"/>
      <c r="O133" s="918"/>
      <c r="P133" s="918"/>
      <c r="Q133" s="918"/>
      <c r="R133" s="918"/>
      <c r="S133" s="918"/>
      <c r="T133" s="918"/>
      <c r="U133" s="918"/>
      <c r="V133" s="918"/>
      <c r="W133" s="918"/>
      <c r="X133" s="918"/>
      <c r="Y133" s="918"/>
      <c r="Z133" s="918"/>
      <c r="AA133" s="918"/>
      <c r="AB133" s="918"/>
      <c r="AC133" s="918"/>
      <c r="AD133" s="918"/>
      <c r="AE133" s="918"/>
      <c r="AF133" s="918"/>
      <c r="AG133" s="918"/>
      <c r="AH133" s="918"/>
      <c r="AI133" s="918"/>
      <c r="AJ133" s="918"/>
      <c r="AK133" s="918"/>
      <c r="AL133" s="918"/>
      <c r="AM133" s="918"/>
      <c r="AN133" s="918"/>
      <c r="AO133" s="918"/>
      <c r="AP133" s="918"/>
      <c r="AQ133" s="918"/>
      <c r="AR133" s="918"/>
      <c r="AS133" s="918"/>
      <c r="AT133" s="918"/>
      <c r="AU133" s="918"/>
      <c r="AV133" s="918"/>
      <c r="AW133" s="918"/>
    </row>
    <row r="134" spans="4:49" s="919" customFormat="1" x14ac:dyDescent="0.3">
      <c r="D134" s="918"/>
      <c r="E134" s="531"/>
      <c r="F134" s="918"/>
      <c r="G134" s="918"/>
      <c r="H134" s="918"/>
      <c r="I134" s="918"/>
      <c r="J134" s="918"/>
      <c r="K134" s="918"/>
      <c r="L134" s="918"/>
      <c r="M134" s="918"/>
      <c r="N134" s="918"/>
      <c r="O134" s="918"/>
      <c r="P134" s="918"/>
      <c r="Q134" s="918"/>
      <c r="R134" s="918"/>
      <c r="S134" s="918"/>
      <c r="T134" s="918"/>
      <c r="U134" s="918"/>
      <c r="V134" s="918"/>
      <c r="W134" s="918"/>
      <c r="X134" s="918"/>
      <c r="Y134" s="918"/>
      <c r="Z134" s="918"/>
      <c r="AA134" s="918"/>
      <c r="AB134" s="918"/>
      <c r="AC134" s="918"/>
      <c r="AD134" s="918"/>
      <c r="AE134" s="918"/>
      <c r="AF134" s="918"/>
      <c r="AG134" s="918"/>
      <c r="AH134" s="918"/>
      <c r="AI134" s="918"/>
      <c r="AJ134" s="918"/>
      <c r="AK134" s="918"/>
      <c r="AL134" s="918"/>
      <c r="AM134" s="918"/>
      <c r="AN134" s="918"/>
      <c r="AO134" s="918"/>
      <c r="AP134" s="918"/>
      <c r="AQ134" s="918"/>
      <c r="AR134" s="918"/>
      <c r="AS134" s="918"/>
      <c r="AT134" s="918"/>
      <c r="AU134" s="918"/>
      <c r="AV134" s="918"/>
      <c r="AW134" s="918"/>
    </row>
    <row r="135" spans="4:49" s="919" customFormat="1" x14ac:dyDescent="0.3">
      <c r="D135" s="918"/>
      <c r="E135" s="918"/>
      <c r="F135" s="918"/>
      <c r="G135" s="918"/>
      <c r="H135" s="918"/>
      <c r="I135" s="921"/>
      <c r="J135" s="921"/>
      <c r="K135" s="921"/>
      <c r="L135" s="921"/>
      <c r="M135" s="921"/>
      <c r="N135" s="921"/>
      <c r="O135" s="921"/>
      <c r="P135" s="921"/>
      <c r="Q135" s="921"/>
      <c r="R135" s="921"/>
      <c r="S135" s="921"/>
      <c r="T135" s="921"/>
      <c r="U135" s="921"/>
      <c r="V135" s="921"/>
      <c r="W135" s="921"/>
      <c r="X135" s="921"/>
      <c r="Y135" s="921"/>
      <c r="Z135" s="921"/>
      <c r="AA135" s="921"/>
      <c r="AB135" s="921"/>
      <c r="AC135" s="921"/>
      <c r="AD135" s="921"/>
      <c r="AE135" s="921"/>
      <c r="AF135" s="921"/>
      <c r="AG135" s="921"/>
      <c r="AH135" s="921"/>
      <c r="AI135" s="921"/>
      <c r="AJ135" s="921"/>
      <c r="AK135" s="921"/>
      <c r="AL135" s="921"/>
      <c r="AM135" s="921"/>
      <c r="AN135" s="921"/>
      <c r="AO135" s="921"/>
      <c r="AP135" s="921"/>
      <c r="AQ135" s="921"/>
      <c r="AR135" s="921"/>
      <c r="AS135" s="921"/>
      <c r="AT135" s="921"/>
      <c r="AU135" s="921"/>
      <c r="AV135" s="921"/>
      <c r="AW135" s="921"/>
    </row>
    <row r="136" spans="4:49" s="919" customFormat="1" x14ac:dyDescent="0.3">
      <c r="D136" s="918"/>
      <c r="E136" s="918"/>
      <c r="F136" s="918"/>
      <c r="G136" s="937"/>
      <c r="H136" s="918"/>
      <c r="I136" s="936"/>
      <c r="J136" s="936"/>
      <c r="K136" s="936"/>
      <c r="L136" s="936"/>
      <c r="M136" s="936"/>
      <c r="N136" s="936"/>
      <c r="O136" s="936"/>
      <c r="P136" s="936"/>
      <c r="Q136" s="936"/>
      <c r="R136" s="936"/>
      <c r="S136" s="936"/>
      <c r="T136" s="936"/>
      <c r="U136" s="936"/>
      <c r="V136" s="936"/>
      <c r="W136" s="936"/>
      <c r="X136" s="936"/>
      <c r="Y136" s="936"/>
      <c r="Z136" s="936"/>
      <c r="AA136" s="936"/>
      <c r="AB136" s="936"/>
      <c r="AC136" s="936"/>
      <c r="AD136" s="936"/>
      <c r="AE136" s="936"/>
      <c r="AF136" s="936"/>
      <c r="AG136" s="936"/>
      <c r="AH136" s="936"/>
      <c r="AI136" s="936"/>
      <c r="AJ136" s="936"/>
      <c r="AK136" s="936"/>
      <c r="AL136" s="936"/>
      <c r="AM136" s="936"/>
      <c r="AN136" s="936"/>
      <c r="AO136" s="936"/>
      <c r="AP136" s="936"/>
      <c r="AQ136" s="936"/>
      <c r="AR136" s="936"/>
      <c r="AS136" s="936"/>
      <c r="AT136" s="936"/>
      <c r="AU136" s="936"/>
      <c r="AV136" s="936"/>
      <c r="AW136" s="936"/>
    </row>
    <row r="137" spans="4:49" s="919" customFormat="1" x14ac:dyDescent="0.3">
      <c r="D137" s="918"/>
      <c r="E137" s="918"/>
      <c r="F137" s="918"/>
      <c r="G137" s="937"/>
      <c r="H137" s="938"/>
      <c r="I137" s="939"/>
      <c r="J137" s="939"/>
      <c r="K137" s="939"/>
      <c r="L137" s="939"/>
      <c r="M137" s="939"/>
      <c r="N137" s="939"/>
      <c r="O137" s="939"/>
      <c r="P137" s="939"/>
      <c r="Q137" s="939"/>
      <c r="R137" s="939"/>
      <c r="S137" s="939"/>
      <c r="T137" s="939"/>
      <c r="U137" s="939"/>
      <c r="V137" s="939"/>
      <c r="W137" s="939"/>
      <c r="X137" s="939"/>
      <c r="Y137" s="939"/>
      <c r="Z137" s="939"/>
      <c r="AA137" s="939"/>
      <c r="AB137" s="939"/>
      <c r="AC137" s="939"/>
      <c r="AD137" s="939"/>
      <c r="AE137" s="939"/>
      <c r="AF137" s="939"/>
      <c r="AG137" s="939"/>
      <c r="AH137" s="939"/>
      <c r="AI137" s="939"/>
      <c r="AJ137" s="939"/>
      <c r="AK137" s="939"/>
      <c r="AL137" s="939"/>
      <c r="AM137" s="939"/>
      <c r="AN137" s="939"/>
      <c r="AO137" s="939"/>
      <c r="AP137" s="939"/>
      <c r="AQ137" s="939"/>
      <c r="AR137" s="939"/>
      <c r="AS137" s="939"/>
      <c r="AT137" s="939"/>
      <c r="AU137" s="939"/>
      <c r="AV137" s="939"/>
      <c r="AW137" s="939"/>
    </row>
    <row r="138" spans="4:49" s="919" customFormat="1" x14ac:dyDescent="0.3">
      <c r="D138" s="918"/>
      <c r="E138" s="918"/>
      <c r="F138" s="918"/>
      <c r="G138" s="918"/>
      <c r="H138" s="918"/>
      <c r="I138" s="918"/>
      <c r="J138" s="918"/>
      <c r="K138" s="918"/>
      <c r="L138" s="918"/>
      <c r="M138" s="918"/>
      <c r="N138" s="918"/>
      <c r="O138" s="918"/>
      <c r="P138" s="918"/>
      <c r="Q138" s="918"/>
      <c r="R138" s="918"/>
      <c r="S138" s="918"/>
      <c r="T138" s="918"/>
      <c r="U138" s="918"/>
      <c r="V138" s="918"/>
      <c r="W138" s="918"/>
      <c r="X138" s="918"/>
      <c r="Y138" s="918"/>
      <c r="Z138" s="918"/>
      <c r="AA138" s="918"/>
      <c r="AB138" s="918"/>
      <c r="AC138" s="918"/>
      <c r="AD138" s="918"/>
      <c r="AE138" s="918"/>
      <c r="AF138" s="918"/>
      <c r="AG138" s="918"/>
      <c r="AH138" s="918"/>
      <c r="AI138" s="918"/>
      <c r="AJ138" s="918"/>
      <c r="AK138" s="918"/>
      <c r="AL138" s="918"/>
      <c r="AM138" s="918"/>
      <c r="AN138" s="918"/>
      <c r="AO138" s="918"/>
      <c r="AP138" s="918"/>
      <c r="AQ138" s="918"/>
      <c r="AR138" s="918"/>
      <c r="AS138" s="918"/>
      <c r="AT138" s="918"/>
      <c r="AU138" s="918"/>
      <c r="AV138" s="918"/>
      <c r="AW138" s="918"/>
    </row>
    <row r="139" spans="4:49" s="919" customFormat="1" x14ac:dyDescent="0.3"/>
  </sheetData>
  <sheetProtection algorithmName="SHA-512" hashValue="7JU+Gdrsm2UNJO9CVMLrb9+nstRlHCJVr0M87+9NOG9WcRzE2BjksuLcxxpPCTpN38R11AMkNhHqg2RUiGnhVg==" saltValue="Gy2VZWDfJB9LwW09/Kznlw==" spinCount="100000" sheet="1" objects="1" scenarios="1" selectLockedCells="1"/>
  <mergeCells count="1">
    <mergeCell ref="A1:AH1"/>
  </mergeCells>
  <pageMargins left="0.7" right="0.7" top="0.75" bottom="0.75" header="0.3" footer="0.3"/>
  <pageSetup paperSize="9" scale="28" firstPageNumber="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6451E-2861-40DC-A924-64BCCE49D938}">
  <sheetPr codeName="Sheet20">
    <tabColor theme="9" tint="0.59999389629810485"/>
    <pageSetUpPr fitToPage="1"/>
  </sheetPr>
  <dimension ref="A1:WWR30"/>
  <sheetViews>
    <sheetView defaultGridColor="0" colorId="22" zoomScale="80" zoomScaleNormal="80" zoomScaleSheetLayoutView="50" workbookViewId="0">
      <selection activeCell="M40" sqref="M40:M44"/>
    </sheetView>
  </sheetViews>
  <sheetFormatPr defaultColWidth="0" defaultRowHeight="14.4" x14ac:dyDescent="0.3"/>
  <cols>
    <col min="1" max="1" width="2.44140625" style="72" customWidth="1"/>
    <col min="2" max="2" width="3.5546875" style="72" customWidth="1"/>
    <col min="3" max="3" width="2.5546875" style="72" customWidth="1"/>
    <col min="4" max="4" width="39.44140625" style="72" customWidth="1"/>
    <col min="5" max="5" width="11.5546875" style="72" bestFit="1" customWidth="1"/>
    <col min="6" max="6" width="12" style="72" customWidth="1"/>
    <col min="7" max="7" width="12.44140625" style="72" bestFit="1" customWidth="1"/>
    <col min="8" max="8" width="11.5546875" style="72" customWidth="1"/>
    <col min="9" max="22" width="12.44140625" style="72" bestFit="1" customWidth="1"/>
    <col min="23" max="23" width="12" style="72" bestFit="1" customWidth="1"/>
    <col min="24" max="31" width="12.44140625" style="72" bestFit="1" customWidth="1"/>
    <col min="32" max="36" width="12" style="72" hidden="1"/>
    <col min="37" max="256" width="9.44140625" style="72" hidden="1"/>
    <col min="257" max="257" width="2.44140625" style="72" hidden="1"/>
    <col min="258" max="258" width="3.5546875" style="72" hidden="1"/>
    <col min="259" max="259" width="2.5546875" style="72" hidden="1"/>
    <col min="260" max="260" width="39.44140625" style="72" hidden="1"/>
    <col min="261" max="261" width="11.44140625" style="72" hidden="1"/>
    <col min="262" max="262" width="11.5546875" style="72" hidden="1"/>
    <col min="263" max="263" width="11.44140625" style="72" hidden="1"/>
    <col min="264" max="264" width="11.5546875" style="72" hidden="1"/>
    <col min="265" max="278" width="12.44140625" style="72" hidden="1"/>
    <col min="279" max="279" width="12" style="72" hidden="1"/>
    <col min="280" max="283" width="12.44140625" style="72" hidden="1"/>
    <col min="284" max="292" width="12" style="72" hidden="1"/>
    <col min="293" max="512" width="9.44140625" style="72" hidden="1"/>
    <col min="513" max="513" width="2.44140625" style="72" hidden="1"/>
    <col min="514" max="514" width="3.5546875" style="72" hidden="1"/>
    <col min="515" max="515" width="2.5546875" style="72" hidden="1"/>
    <col min="516" max="516" width="39.44140625" style="72" hidden="1"/>
    <col min="517" max="517" width="11.44140625" style="72" hidden="1"/>
    <col min="518" max="518" width="11.5546875" style="72" hidden="1"/>
    <col min="519" max="519" width="11.44140625" style="72" hidden="1"/>
    <col min="520" max="520" width="11.5546875" style="72" hidden="1"/>
    <col min="521" max="534" width="12.44140625" style="72" hidden="1"/>
    <col min="535" max="535" width="12" style="72" hidden="1"/>
    <col min="536" max="539" width="12.44140625" style="72" hidden="1"/>
    <col min="540" max="548" width="12" style="72" hidden="1"/>
    <col min="549" max="768" width="9.44140625" style="72" hidden="1"/>
    <col min="769" max="769" width="2.44140625" style="72" hidden="1"/>
    <col min="770" max="770" width="3.5546875" style="72" hidden="1"/>
    <col min="771" max="771" width="2.5546875" style="72" hidden="1"/>
    <col min="772" max="772" width="39.44140625" style="72" hidden="1"/>
    <col min="773" max="773" width="11.44140625" style="72" hidden="1"/>
    <col min="774" max="774" width="11.5546875" style="72" hidden="1"/>
    <col min="775" max="775" width="11.44140625" style="72" hidden="1"/>
    <col min="776" max="776" width="11.5546875" style="72" hidden="1"/>
    <col min="777" max="790" width="12.44140625" style="72" hidden="1"/>
    <col min="791" max="791" width="12" style="72" hidden="1"/>
    <col min="792" max="795" width="12.44140625" style="72" hidden="1"/>
    <col min="796" max="804" width="12" style="72" hidden="1"/>
    <col min="805" max="1024" width="9.44140625" style="72" hidden="1"/>
    <col min="1025" max="1025" width="2.44140625" style="72" hidden="1"/>
    <col min="1026" max="1026" width="3.5546875" style="72" hidden="1"/>
    <col min="1027" max="1027" width="2.5546875" style="72" hidden="1"/>
    <col min="1028" max="1028" width="39.44140625" style="72" hidden="1"/>
    <col min="1029" max="1029" width="11.44140625" style="72" hidden="1"/>
    <col min="1030" max="1030" width="11.5546875" style="72" hidden="1"/>
    <col min="1031" max="1031" width="11.44140625" style="72" hidden="1"/>
    <col min="1032" max="1032" width="11.5546875" style="72" hidden="1"/>
    <col min="1033" max="1046" width="12.44140625" style="72" hidden="1"/>
    <col min="1047" max="1047" width="12" style="72" hidden="1"/>
    <col min="1048" max="1051" width="12.44140625" style="72" hidden="1"/>
    <col min="1052" max="1060" width="12" style="72" hidden="1"/>
    <col min="1061" max="1280" width="9.44140625" style="72" hidden="1"/>
    <col min="1281" max="1281" width="2.44140625" style="72" hidden="1"/>
    <col min="1282" max="1282" width="3.5546875" style="72" hidden="1"/>
    <col min="1283" max="1283" width="2.5546875" style="72" hidden="1"/>
    <col min="1284" max="1284" width="39.44140625" style="72" hidden="1"/>
    <col min="1285" max="1285" width="11.44140625" style="72" hidden="1"/>
    <col min="1286" max="1286" width="11.5546875" style="72" hidden="1"/>
    <col min="1287" max="1287" width="11.44140625" style="72" hidden="1"/>
    <col min="1288" max="1288" width="11.5546875" style="72" hidden="1"/>
    <col min="1289" max="1302" width="12.44140625" style="72" hidden="1"/>
    <col min="1303" max="1303" width="12" style="72" hidden="1"/>
    <col min="1304" max="1307" width="12.44140625" style="72" hidden="1"/>
    <col min="1308" max="1316" width="12" style="72" hidden="1"/>
    <col min="1317" max="1536" width="9.44140625" style="72" hidden="1"/>
    <col min="1537" max="1537" width="2.44140625" style="72" hidden="1"/>
    <col min="1538" max="1538" width="3.5546875" style="72" hidden="1"/>
    <col min="1539" max="1539" width="2.5546875" style="72" hidden="1"/>
    <col min="1540" max="1540" width="39.44140625" style="72" hidden="1"/>
    <col min="1541" max="1541" width="11.44140625" style="72" hidden="1"/>
    <col min="1542" max="1542" width="11.5546875" style="72" hidden="1"/>
    <col min="1543" max="1543" width="11.44140625" style="72" hidden="1"/>
    <col min="1544" max="1544" width="11.5546875" style="72" hidden="1"/>
    <col min="1545" max="1558" width="12.44140625" style="72" hidden="1"/>
    <col min="1559" max="1559" width="12" style="72" hidden="1"/>
    <col min="1560" max="1563" width="12.44140625" style="72" hidden="1"/>
    <col min="1564" max="1572" width="12" style="72" hidden="1"/>
    <col min="1573" max="1792" width="9.44140625" style="72" hidden="1"/>
    <col min="1793" max="1793" width="2.44140625" style="72" hidden="1"/>
    <col min="1794" max="1794" width="3.5546875" style="72" hidden="1"/>
    <col min="1795" max="1795" width="2.5546875" style="72" hidden="1"/>
    <col min="1796" max="1796" width="39.44140625" style="72" hidden="1"/>
    <col min="1797" max="1797" width="11.44140625" style="72" hidden="1"/>
    <col min="1798" max="1798" width="11.5546875" style="72" hidden="1"/>
    <col min="1799" max="1799" width="11.44140625" style="72" hidden="1"/>
    <col min="1800" max="1800" width="11.5546875" style="72" hidden="1"/>
    <col min="1801" max="1814" width="12.44140625" style="72" hidden="1"/>
    <col min="1815" max="1815" width="12" style="72" hidden="1"/>
    <col min="1816" max="1819" width="12.44140625" style="72" hidden="1"/>
    <col min="1820" max="1828" width="12" style="72" hidden="1"/>
    <col min="1829" max="2048" width="9.44140625" style="72" hidden="1"/>
    <col min="2049" max="2049" width="2.44140625" style="72" hidden="1"/>
    <col min="2050" max="2050" width="3.5546875" style="72" hidden="1"/>
    <col min="2051" max="2051" width="2.5546875" style="72" hidden="1"/>
    <col min="2052" max="2052" width="39.44140625" style="72" hidden="1"/>
    <col min="2053" max="2053" width="11.44140625" style="72" hidden="1"/>
    <col min="2054" max="2054" width="11.5546875" style="72" hidden="1"/>
    <col min="2055" max="2055" width="11.44140625" style="72" hidden="1"/>
    <col min="2056" max="2056" width="11.5546875" style="72" hidden="1"/>
    <col min="2057" max="2070" width="12.44140625" style="72" hidden="1"/>
    <col min="2071" max="2071" width="12" style="72" hidden="1"/>
    <col min="2072" max="2075" width="12.44140625" style="72" hidden="1"/>
    <col min="2076" max="2084" width="12" style="72" hidden="1"/>
    <col min="2085" max="2304" width="9.44140625" style="72" hidden="1"/>
    <col min="2305" max="2305" width="2.44140625" style="72" hidden="1"/>
    <col min="2306" max="2306" width="3.5546875" style="72" hidden="1"/>
    <col min="2307" max="2307" width="2.5546875" style="72" hidden="1"/>
    <col min="2308" max="2308" width="39.44140625" style="72" hidden="1"/>
    <col min="2309" max="2309" width="11.44140625" style="72" hidden="1"/>
    <col min="2310" max="2310" width="11.5546875" style="72" hidden="1"/>
    <col min="2311" max="2311" width="11.44140625" style="72" hidden="1"/>
    <col min="2312" max="2312" width="11.5546875" style="72" hidden="1"/>
    <col min="2313" max="2326" width="12.44140625" style="72" hidden="1"/>
    <col min="2327" max="2327" width="12" style="72" hidden="1"/>
    <col min="2328" max="2331" width="12.44140625" style="72" hidden="1"/>
    <col min="2332" max="2340" width="12" style="72" hidden="1"/>
    <col min="2341" max="2560" width="9.44140625" style="72" hidden="1"/>
    <col min="2561" max="2561" width="2.44140625" style="72" hidden="1"/>
    <col min="2562" max="2562" width="3.5546875" style="72" hidden="1"/>
    <col min="2563" max="2563" width="2.5546875" style="72" hidden="1"/>
    <col min="2564" max="2564" width="39.44140625" style="72" hidden="1"/>
    <col min="2565" max="2565" width="11.44140625" style="72" hidden="1"/>
    <col min="2566" max="2566" width="11.5546875" style="72" hidden="1"/>
    <col min="2567" max="2567" width="11.44140625" style="72" hidden="1"/>
    <col min="2568" max="2568" width="11.5546875" style="72" hidden="1"/>
    <col min="2569" max="2582" width="12.44140625" style="72" hidden="1"/>
    <col min="2583" max="2583" width="12" style="72" hidden="1"/>
    <col min="2584" max="2587" width="12.44140625" style="72" hidden="1"/>
    <col min="2588" max="2596" width="12" style="72" hidden="1"/>
    <col min="2597" max="2816" width="9.44140625" style="72" hidden="1"/>
    <col min="2817" max="2817" width="2.44140625" style="72" hidden="1"/>
    <col min="2818" max="2818" width="3.5546875" style="72" hidden="1"/>
    <col min="2819" max="2819" width="2.5546875" style="72" hidden="1"/>
    <col min="2820" max="2820" width="39.44140625" style="72" hidden="1"/>
    <col min="2821" max="2821" width="11.44140625" style="72" hidden="1"/>
    <col min="2822" max="2822" width="11.5546875" style="72" hidden="1"/>
    <col min="2823" max="2823" width="11.44140625" style="72" hidden="1"/>
    <col min="2824" max="2824" width="11.5546875" style="72" hidden="1"/>
    <col min="2825" max="2838" width="12.44140625" style="72" hidden="1"/>
    <col min="2839" max="2839" width="12" style="72" hidden="1"/>
    <col min="2840" max="2843" width="12.44140625" style="72" hidden="1"/>
    <col min="2844" max="2852" width="12" style="72" hidden="1"/>
    <col min="2853" max="3072" width="9.44140625" style="72" hidden="1"/>
    <col min="3073" max="3073" width="2.44140625" style="72" hidden="1"/>
    <col min="3074" max="3074" width="3.5546875" style="72" hidden="1"/>
    <col min="3075" max="3075" width="2.5546875" style="72" hidden="1"/>
    <col min="3076" max="3076" width="39.44140625" style="72" hidden="1"/>
    <col min="3077" max="3077" width="11.44140625" style="72" hidden="1"/>
    <col min="3078" max="3078" width="11.5546875" style="72" hidden="1"/>
    <col min="3079" max="3079" width="11.44140625" style="72" hidden="1"/>
    <col min="3080" max="3080" width="11.5546875" style="72" hidden="1"/>
    <col min="3081" max="3094" width="12.44140625" style="72" hidden="1"/>
    <col min="3095" max="3095" width="12" style="72" hidden="1"/>
    <col min="3096" max="3099" width="12.44140625" style="72" hidden="1"/>
    <col min="3100" max="3108" width="12" style="72" hidden="1"/>
    <col min="3109" max="3328" width="9.44140625" style="72" hidden="1"/>
    <col min="3329" max="3329" width="2.44140625" style="72" hidden="1"/>
    <col min="3330" max="3330" width="3.5546875" style="72" hidden="1"/>
    <col min="3331" max="3331" width="2.5546875" style="72" hidden="1"/>
    <col min="3332" max="3332" width="39.44140625" style="72" hidden="1"/>
    <col min="3333" max="3333" width="11.44140625" style="72" hidden="1"/>
    <col min="3334" max="3334" width="11.5546875" style="72" hidden="1"/>
    <col min="3335" max="3335" width="11.44140625" style="72" hidden="1"/>
    <col min="3336" max="3336" width="11.5546875" style="72" hidden="1"/>
    <col min="3337" max="3350" width="12.44140625" style="72" hidden="1"/>
    <col min="3351" max="3351" width="12" style="72" hidden="1"/>
    <col min="3352" max="3355" width="12.44140625" style="72" hidden="1"/>
    <col min="3356" max="3364" width="12" style="72" hidden="1"/>
    <col min="3365" max="3584" width="9.44140625" style="72" hidden="1"/>
    <col min="3585" max="3585" width="2.44140625" style="72" hidden="1"/>
    <col min="3586" max="3586" width="3.5546875" style="72" hidden="1"/>
    <col min="3587" max="3587" width="2.5546875" style="72" hidden="1"/>
    <col min="3588" max="3588" width="39.44140625" style="72" hidden="1"/>
    <col min="3589" max="3589" width="11.44140625" style="72" hidden="1"/>
    <col min="3590" max="3590" width="11.5546875" style="72" hidden="1"/>
    <col min="3591" max="3591" width="11.44140625" style="72" hidden="1"/>
    <col min="3592" max="3592" width="11.5546875" style="72" hidden="1"/>
    <col min="3593" max="3606" width="12.44140625" style="72" hidden="1"/>
    <col min="3607" max="3607" width="12" style="72" hidden="1"/>
    <col min="3608" max="3611" width="12.44140625" style="72" hidden="1"/>
    <col min="3612" max="3620" width="12" style="72" hidden="1"/>
    <col min="3621" max="3840" width="9.44140625" style="72" hidden="1"/>
    <col min="3841" max="3841" width="2.44140625" style="72" hidden="1"/>
    <col min="3842" max="3842" width="3.5546875" style="72" hidden="1"/>
    <col min="3843" max="3843" width="2.5546875" style="72" hidden="1"/>
    <col min="3844" max="3844" width="39.44140625" style="72" hidden="1"/>
    <col min="3845" max="3845" width="11.44140625" style="72" hidden="1"/>
    <col min="3846" max="3846" width="11.5546875" style="72" hidden="1"/>
    <col min="3847" max="3847" width="11.44140625" style="72" hidden="1"/>
    <col min="3848" max="3848" width="11.5546875" style="72" hidden="1"/>
    <col min="3849" max="3862" width="12.44140625" style="72" hidden="1"/>
    <col min="3863" max="3863" width="12" style="72" hidden="1"/>
    <col min="3864" max="3867" width="12.44140625" style="72" hidden="1"/>
    <col min="3868" max="3876" width="12" style="72" hidden="1"/>
    <col min="3877" max="4096" width="9.44140625" style="72" hidden="1"/>
    <col min="4097" max="4097" width="2.44140625" style="72" hidden="1"/>
    <col min="4098" max="4098" width="3.5546875" style="72" hidden="1"/>
    <col min="4099" max="4099" width="2.5546875" style="72" hidden="1"/>
    <col min="4100" max="4100" width="39.44140625" style="72" hidden="1"/>
    <col min="4101" max="4101" width="11.44140625" style="72" hidden="1"/>
    <col min="4102" max="4102" width="11.5546875" style="72" hidden="1"/>
    <col min="4103" max="4103" width="11.44140625" style="72" hidden="1"/>
    <col min="4104" max="4104" width="11.5546875" style="72" hidden="1"/>
    <col min="4105" max="4118" width="12.44140625" style="72" hidden="1"/>
    <col min="4119" max="4119" width="12" style="72" hidden="1"/>
    <col min="4120" max="4123" width="12.44140625" style="72" hidden="1"/>
    <col min="4124" max="4132" width="12" style="72" hidden="1"/>
    <col min="4133" max="4352" width="9.44140625" style="72" hidden="1"/>
    <col min="4353" max="4353" width="2.44140625" style="72" hidden="1"/>
    <col min="4354" max="4354" width="3.5546875" style="72" hidden="1"/>
    <col min="4355" max="4355" width="2.5546875" style="72" hidden="1"/>
    <col min="4356" max="4356" width="39.44140625" style="72" hidden="1"/>
    <col min="4357" max="4357" width="11.44140625" style="72" hidden="1"/>
    <col min="4358" max="4358" width="11.5546875" style="72" hidden="1"/>
    <col min="4359" max="4359" width="11.44140625" style="72" hidden="1"/>
    <col min="4360" max="4360" width="11.5546875" style="72" hidden="1"/>
    <col min="4361" max="4374" width="12.44140625" style="72" hidden="1"/>
    <col min="4375" max="4375" width="12" style="72" hidden="1"/>
    <col min="4376" max="4379" width="12.44140625" style="72" hidden="1"/>
    <col min="4380" max="4388" width="12" style="72" hidden="1"/>
    <col min="4389" max="4608" width="9.44140625" style="72" hidden="1"/>
    <col min="4609" max="4609" width="2.44140625" style="72" hidden="1"/>
    <col min="4610" max="4610" width="3.5546875" style="72" hidden="1"/>
    <col min="4611" max="4611" width="2.5546875" style="72" hidden="1"/>
    <col min="4612" max="4612" width="39.44140625" style="72" hidden="1"/>
    <col min="4613" max="4613" width="11.44140625" style="72" hidden="1"/>
    <col min="4614" max="4614" width="11.5546875" style="72" hidden="1"/>
    <col min="4615" max="4615" width="11.44140625" style="72" hidden="1"/>
    <col min="4616" max="4616" width="11.5546875" style="72" hidden="1"/>
    <col min="4617" max="4630" width="12.44140625" style="72" hidden="1"/>
    <col min="4631" max="4631" width="12" style="72" hidden="1"/>
    <col min="4632" max="4635" width="12.44140625" style="72" hidden="1"/>
    <col min="4636" max="4644" width="12" style="72" hidden="1"/>
    <col min="4645" max="4864" width="9.44140625" style="72" hidden="1"/>
    <col min="4865" max="4865" width="2.44140625" style="72" hidden="1"/>
    <col min="4866" max="4866" width="3.5546875" style="72" hidden="1"/>
    <col min="4867" max="4867" width="2.5546875" style="72" hidden="1"/>
    <col min="4868" max="4868" width="39.44140625" style="72" hidden="1"/>
    <col min="4869" max="4869" width="11.44140625" style="72" hidden="1"/>
    <col min="4870" max="4870" width="11.5546875" style="72" hidden="1"/>
    <col min="4871" max="4871" width="11.44140625" style="72" hidden="1"/>
    <col min="4872" max="4872" width="11.5546875" style="72" hidden="1"/>
    <col min="4873" max="4886" width="12.44140625" style="72" hidden="1"/>
    <col min="4887" max="4887" width="12" style="72" hidden="1"/>
    <col min="4888" max="4891" width="12.44140625" style="72" hidden="1"/>
    <col min="4892" max="4900" width="12" style="72" hidden="1"/>
    <col min="4901" max="5120" width="9.44140625" style="72" hidden="1"/>
    <col min="5121" max="5121" width="2.44140625" style="72" hidden="1"/>
    <col min="5122" max="5122" width="3.5546875" style="72" hidden="1"/>
    <col min="5123" max="5123" width="2.5546875" style="72" hidden="1"/>
    <col min="5124" max="5124" width="39.44140625" style="72" hidden="1"/>
    <col min="5125" max="5125" width="11.44140625" style="72" hidden="1"/>
    <col min="5126" max="5126" width="11.5546875" style="72" hidden="1"/>
    <col min="5127" max="5127" width="11.44140625" style="72" hidden="1"/>
    <col min="5128" max="5128" width="11.5546875" style="72" hidden="1"/>
    <col min="5129" max="5142" width="12.44140625" style="72" hidden="1"/>
    <col min="5143" max="5143" width="12" style="72" hidden="1"/>
    <col min="5144" max="5147" width="12.44140625" style="72" hidden="1"/>
    <col min="5148" max="5156" width="12" style="72" hidden="1"/>
    <col min="5157" max="5376" width="9.44140625" style="72" hidden="1"/>
    <col min="5377" max="5377" width="2.44140625" style="72" hidden="1"/>
    <col min="5378" max="5378" width="3.5546875" style="72" hidden="1"/>
    <col min="5379" max="5379" width="2.5546875" style="72" hidden="1"/>
    <col min="5380" max="5380" width="39.44140625" style="72" hidden="1"/>
    <col min="5381" max="5381" width="11.44140625" style="72" hidden="1"/>
    <col min="5382" max="5382" width="11.5546875" style="72" hidden="1"/>
    <col min="5383" max="5383" width="11.44140625" style="72" hidden="1"/>
    <col min="5384" max="5384" width="11.5546875" style="72" hidden="1"/>
    <col min="5385" max="5398" width="12.44140625" style="72" hidden="1"/>
    <col min="5399" max="5399" width="12" style="72" hidden="1"/>
    <col min="5400" max="5403" width="12.44140625" style="72" hidden="1"/>
    <col min="5404" max="5412" width="12" style="72" hidden="1"/>
    <col min="5413" max="5632" width="9.44140625" style="72" hidden="1"/>
    <col min="5633" max="5633" width="2.44140625" style="72" hidden="1"/>
    <col min="5634" max="5634" width="3.5546875" style="72" hidden="1"/>
    <col min="5635" max="5635" width="2.5546875" style="72" hidden="1"/>
    <col min="5636" max="5636" width="39.44140625" style="72" hidden="1"/>
    <col min="5637" max="5637" width="11.44140625" style="72" hidden="1"/>
    <col min="5638" max="5638" width="11.5546875" style="72" hidden="1"/>
    <col min="5639" max="5639" width="11.44140625" style="72" hidden="1"/>
    <col min="5640" max="5640" width="11.5546875" style="72" hidden="1"/>
    <col min="5641" max="5654" width="12.44140625" style="72" hidden="1"/>
    <col min="5655" max="5655" width="12" style="72" hidden="1"/>
    <col min="5656" max="5659" width="12.44140625" style="72" hidden="1"/>
    <col min="5660" max="5668" width="12" style="72" hidden="1"/>
    <col min="5669" max="5888" width="9.44140625" style="72" hidden="1"/>
    <col min="5889" max="5889" width="2.44140625" style="72" hidden="1"/>
    <col min="5890" max="5890" width="3.5546875" style="72" hidden="1"/>
    <col min="5891" max="5891" width="2.5546875" style="72" hidden="1"/>
    <col min="5892" max="5892" width="39.44140625" style="72" hidden="1"/>
    <col min="5893" max="5893" width="11.44140625" style="72" hidden="1"/>
    <col min="5894" max="5894" width="11.5546875" style="72" hidden="1"/>
    <col min="5895" max="5895" width="11.44140625" style="72" hidden="1"/>
    <col min="5896" max="5896" width="11.5546875" style="72" hidden="1"/>
    <col min="5897" max="5910" width="12.44140625" style="72" hidden="1"/>
    <col min="5911" max="5911" width="12" style="72" hidden="1"/>
    <col min="5912" max="5915" width="12.44140625" style="72" hidden="1"/>
    <col min="5916" max="5924" width="12" style="72" hidden="1"/>
    <col min="5925" max="6144" width="9.44140625" style="72" hidden="1"/>
    <col min="6145" max="6145" width="2.44140625" style="72" hidden="1"/>
    <col min="6146" max="6146" width="3.5546875" style="72" hidden="1"/>
    <col min="6147" max="6147" width="2.5546875" style="72" hidden="1"/>
    <col min="6148" max="6148" width="39.44140625" style="72" hidden="1"/>
    <col min="6149" max="6149" width="11.44140625" style="72" hidden="1"/>
    <col min="6150" max="6150" width="11.5546875" style="72" hidden="1"/>
    <col min="6151" max="6151" width="11.44140625" style="72" hidden="1"/>
    <col min="6152" max="6152" width="11.5546875" style="72" hidden="1"/>
    <col min="6153" max="6166" width="12.44140625" style="72" hidden="1"/>
    <col min="6167" max="6167" width="12" style="72" hidden="1"/>
    <col min="6168" max="6171" width="12.44140625" style="72" hidden="1"/>
    <col min="6172" max="6180" width="12" style="72" hidden="1"/>
    <col min="6181" max="6400" width="9.44140625" style="72" hidden="1"/>
    <col min="6401" max="6401" width="2.44140625" style="72" hidden="1"/>
    <col min="6402" max="6402" width="3.5546875" style="72" hidden="1"/>
    <col min="6403" max="6403" width="2.5546875" style="72" hidden="1"/>
    <col min="6404" max="6404" width="39.44140625" style="72" hidden="1"/>
    <col min="6405" max="6405" width="11.44140625" style="72" hidden="1"/>
    <col min="6406" max="6406" width="11.5546875" style="72" hidden="1"/>
    <col min="6407" max="6407" width="11.44140625" style="72" hidden="1"/>
    <col min="6408" max="6408" width="11.5546875" style="72" hidden="1"/>
    <col min="6409" max="6422" width="12.44140625" style="72" hidden="1"/>
    <col min="6423" max="6423" width="12" style="72" hidden="1"/>
    <col min="6424" max="6427" width="12.44140625" style="72" hidden="1"/>
    <col min="6428" max="6436" width="12" style="72" hidden="1"/>
    <col min="6437" max="6656" width="9.44140625" style="72" hidden="1"/>
    <col min="6657" max="6657" width="2.44140625" style="72" hidden="1"/>
    <col min="6658" max="6658" width="3.5546875" style="72" hidden="1"/>
    <col min="6659" max="6659" width="2.5546875" style="72" hidden="1"/>
    <col min="6660" max="6660" width="39.44140625" style="72" hidden="1"/>
    <col min="6661" max="6661" width="11.44140625" style="72" hidden="1"/>
    <col min="6662" max="6662" width="11.5546875" style="72" hidden="1"/>
    <col min="6663" max="6663" width="11.44140625" style="72" hidden="1"/>
    <col min="6664" max="6664" width="11.5546875" style="72" hidden="1"/>
    <col min="6665" max="6678" width="12.44140625" style="72" hidden="1"/>
    <col min="6679" max="6679" width="12" style="72" hidden="1"/>
    <col min="6680" max="6683" width="12.44140625" style="72" hidden="1"/>
    <col min="6684" max="6692" width="12" style="72" hidden="1"/>
    <col min="6693" max="6912" width="9.44140625" style="72" hidden="1"/>
    <col min="6913" max="6913" width="2.44140625" style="72" hidden="1"/>
    <col min="6914" max="6914" width="3.5546875" style="72" hidden="1"/>
    <col min="6915" max="6915" width="2.5546875" style="72" hidden="1"/>
    <col min="6916" max="6916" width="39.44140625" style="72" hidden="1"/>
    <col min="6917" max="6917" width="11.44140625" style="72" hidden="1"/>
    <col min="6918" max="6918" width="11.5546875" style="72" hidden="1"/>
    <col min="6919" max="6919" width="11.44140625" style="72" hidden="1"/>
    <col min="6920" max="6920" width="11.5546875" style="72" hidden="1"/>
    <col min="6921" max="6934" width="12.44140625" style="72" hidden="1"/>
    <col min="6935" max="6935" width="12" style="72" hidden="1"/>
    <col min="6936" max="6939" width="12.44140625" style="72" hidden="1"/>
    <col min="6940" max="6948" width="12" style="72" hidden="1"/>
    <col min="6949" max="7168" width="9.44140625" style="72" hidden="1"/>
    <col min="7169" max="7169" width="2.44140625" style="72" hidden="1"/>
    <col min="7170" max="7170" width="3.5546875" style="72" hidden="1"/>
    <col min="7171" max="7171" width="2.5546875" style="72" hidden="1"/>
    <col min="7172" max="7172" width="39.44140625" style="72" hidden="1"/>
    <col min="7173" max="7173" width="11.44140625" style="72" hidden="1"/>
    <col min="7174" max="7174" width="11.5546875" style="72" hidden="1"/>
    <col min="7175" max="7175" width="11.44140625" style="72" hidden="1"/>
    <col min="7176" max="7176" width="11.5546875" style="72" hidden="1"/>
    <col min="7177" max="7190" width="12.44140625" style="72" hidden="1"/>
    <col min="7191" max="7191" width="12" style="72" hidden="1"/>
    <col min="7192" max="7195" width="12.44140625" style="72" hidden="1"/>
    <col min="7196" max="7204" width="12" style="72" hidden="1"/>
    <col min="7205" max="7424" width="9.44140625" style="72" hidden="1"/>
    <col min="7425" max="7425" width="2.44140625" style="72" hidden="1"/>
    <col min="7426" max="7426" width="3.5546875" style="72" hidden="1"/>
    <col min="7427" max="7427" width="2.5546875" style="72" hidden="1"/>
    <col min="7428" max="7428" width="39.44140625" style="72" hidden="1"/>
    <col min="7429" max="7429" width="11.44140625" style="72" hidden="1"/>
    <col min="7430" max="7430" width="11.5546875" style="72" hidden="1"/>
    <col min="7431" max="7431" width="11.44140625" style="72" hidden="1"/>
    <col min="7432" max="7432" width="11.5546875" style="72" hidden="1"/>
    <col min="7433" max="7446" width="12.44140625" style="72" hidden="1"/>
    <col min="7447" max="7447" width="12" style="72" hidden="1"/>
    <col min="7448" max="7451" width="12.44140625" style="72" hidden="1"/>
    <col min="7452" max="7460" width="12" style="72" hidden="1"/>
    <col min="7461" max="7680" width="9.44140625" style="72" hidden="1"/>
    <col min="7681" max="7681" width="2.44140625" style="72" hidden="1"/>
    <col min="7682" max="7682" width="3.5546875" style="72" hidden="1"/>
    <col min="7683" max="7683" width="2.5546875" style="72" hidden="1"/>
    <col min="7684" max="7684" width="39.44140625" style="72" hidden="1"/>
    <col min="7685" max="7685" width="11.44140625" style="72" hidden="1"/>
    <col min="7686" max="7686" width="11.5546875" style="72" hidden="1"/>
    <col min="7687" max="7687" width="11.44140625" style="72" hidden="1"/>
    <col min="7688" max="7688" width="11.5546875" style="72" hidden="1"/>
    <col min="7689" max="7702" width="12.44140625" style="72" hidden="1"/>
    <col min="7703" max="7703" width="12" style="72" hidden="1"/>
    <col min="7704" max="7707" width="12.44140625" style="72" hidden="1"/>
    <col min="7708" max="7716" width="12" style="72" hidden="1"/>
    <col min="7717" max="7936" width="9.44140625" style="72" hidden="1"/>
    <col min="7937" max="7937" width="2.44140625" style="72" hidden="1"/>
    <col min="7938" max="7938" width="3.5546875" style="72" hidden="1"/>
    <col min="7939" max="7939" width="2.5546875" style="72" hidden="1"/>
    <col min="7940" max="7940" width="39.44140625" style="72" hidden="1"/>
    <col min="7941" max="7941" width="11.44140625" style="72" hidden="1"/>
    <col min="7942" max="7942" width="11.5546875" style="72" hidden="1"/>
    <col min="7943" max="7943" width="11.44140625" style="72" hidden="1"/>
    <col min="7944" max="7944" width="11.5546875" style="72" hidden="1"/>
    <col min="7945" max="7958" width="12.44140625" style="72" hidden="1"/>
    <col min="7959" max="7959" width="12" style="72" hidden="1"/>
    <col min="7960" max="7963" width="12.44140625" style="72" hidden="1"/>
    <col min="7964" max="7972" width="12" style="72" hidden="1"/>
    <col min="7973" max="8192" width="9.44140625" style="72" hidden="1"/>
    <col min="8193" max="8193" width="2.44140625" style="72" hidden="1"/>
    <col min="8194" max="8194" width="3.5546875" style="72" hidden="1"/>
    <col min="8195" max="8195" width="2.5546875" style="72" hidden="1"/>
    <col min="8196" max="8196" width="39.44140625" style="72" hidden="1"/>
    <col min="8197" max="8197" width="11.44140625" style="72" hidden="1"/>
    <col min="8198" max="8198" width="11.5546875" style="72" hidden="1"/>
    <col min="8199" max="8199" width="11.44140625" style="72" hidden="1"/>
    <col min="8200" max="8200" width="11.5546875" style="72" hidden="1"/>
    <col min="8201" max="8214" width="12.44140625" style="72" hidden="1"/>
    <col min="8215" max="8215" width="12" style="72" hidden="1"/>
    <col min="8216" max="8219" width="12.44140625" style="72" hidden="1"/>
    <col min="8220" max="8228" width="12" style="72" hidden="1"/>
    <col min="8229" max="8448" width="9.44140625" style="72" hidden="1"/>
    <col min="8449" max="8449" width="2.44140625" style="72" hidden="1"/>
    <col min="8450" max="8450" width="3.5546875" style="72" hidden="1"/>
    <col min="8451" max="8451" width="2.5546875" style="72" hidden="1"/>
    <col min="8452" max="8452" width="39.44140625" style="72" hidden="1"/>
    <col min="8453" max="8453" width="11.44140625" style="72" hidden="1"/>
    <col min="8454" max="8454" width="11.5546875" style="72" hidden="1"/>
    <col min="8455" max="8455" width="11.44140625" style="72" hidden="1"/>
    <col min="8456" max="8456" width="11.5546875" style="72" hidden="1"/>
    <col min="8457" max="8470" width="12.44140625" style="72" hidden="1"/>
    <col min="8471" max="8471" width="12" style="72" hidden="1"/>
    <col min="8472" max="8475" width="12.44140625" style="72" hidden="1"/>
    <col min="8476" max="8484" width="12" style="72" hidden="1"/>
    <col min="8485" max="8704" width="9.44140625" style="72" hidden="1"/>
    <col min="8705" max="8705" width="2.44140625" style="72" hidden="1"/>
    <col min="8706" max="8706" width="3.5546875" style="72" hidden="1"/>
    <col min="8707" max="8707" width="2.5546875" style="72" hidden="1"/>
    <col min="8708" max="8708" width="39.44140625" style="72" hidden="1"/>
    <col min="8709" max="8709" width="11.44140625" style="72" hidden="1"/>
    <col min="8710" max="8710" width="11.5546875" style="72" hidden="1"/>
    <col min="8711" max="8711" width="11.44140625" style="72" hidden="1"/>
    <col min="8712" max="8712" width="11.5546875" style="72" hidden="1"/>
    <col min="8713" max="8726" width="12.44140625" style="72" hidden="1"/>
    <col min="8727" max="8727" width="12" style="72" hidden="1"/>
    <col min="8728" max="8731" width="12.44140625" style="72" hidden="1"/>
    <col min="8732" max="8740" width="12" style="72" hidden="1"/>
    <col min="8741" max="8960" width="9.44140625" style="72" hidden="1"/>
    <col min="8961" max="8961" width="2.44140625" style="72" hidden="1"/>
    <col min="8962" max="8962" width="3.5546875" style="72" hidden="1"/>
    <col min="8963" max="8963" width="2.5546875" style="72" hidden="1"/>
    <col min="8964" max="8964" width="39.44140625" style="72" hidden="1"/>
    <col min="8965" max="8965" width="11.44140625" style="72" hidden="1"/>
    <col min="8966" max="8966" width="11.5546875" style="72" hidden="1"/>
    <col min="8967" max="8967" width="11.44140625" style="72" hidden="1"/>
    <col min="8968" max="8968" width="11.5546875" style="72" hidden="1"/>
    <col min="8969" max="8982" width="12.44140625" style="72" hidden="1"/>
    <col min="8983" max="8983" width="12" style="72" hidden="1"/>
    <col min="8984" max="8987" width="12.44140625" style="72" hidden="1"/>
    <col min="8988" max="8996" width="12" style="72" hidden="1"/>
    <col min="8997" max="9216" width="9.44140625" style="72" hidden="1"/>
    <col min="9217" max="9217" width="2.44140625" style="72" hidden="1"/>
    <col min="9218" max="9218" width="3.5546875" style="72" hidden="1"/>
    <col min="9219" max="9219" width="2.5546875" style="72" hidden="1"/>
    <col min="9220" max="9220" width="39.44140625" style="72" hidden="1"/>
    <col min="9221" max="9221" width="11.44140625" style="72" hidden="1"/>
    <col min="9222" max="9222" width="11.5546875" style="72" hidden="1"/>
    <col min="9223" max="9223" width="11.44140625" style="72" hidden="1"/>
    <col min="9224" max="9224" width="11.5546875" style="72" hidden="1"/>
    <col min="9225" max="9238" width="12.44140625" style="72" hidden="1"/>
    <col min="9239" max="9239" width="12" style="72" hidden="1"/>
    <col min="9240" max="9243" width="12.44140625" style="72" hidden="1"/>
    <col min="9244" max="9252" width="12" style="72" hidden="1"/>
    <col min="9253" max="9472" width="9.44140625" style="72" hidden="1"/>
    <col min="9473" max="9473" width="2.44140625" style="72" hidden="1"/>
    <col min="9474" max="9474" width="3.5546875" style="72" hidden="1"/>
    <col min="9475" max="9475" width="2.5546875" style="72" hidden="1"/>
    <col min="9476" max="9476" width="39.44140625" style="72" hidden="1"/>
    <col min="9477" max="9477" width="11.44140625" style="72" hidden="1"/>
    <col min="9478" max="9478" width="11.5546875" style="72" hidden="1"/>
    <col min="9479" max="9479" width="11.44140625" style="72" hidden="1"/>
    <col min="9480" max="9480" width="11.5546875" style="72" hidden="1"/>
    <col min="9481" max="9494" width="12.44140625" style="72" hidden="1"/>
    <col min="9495" max="9495" width="12" style="72" hidden="1"/>
    <col min="9496" max="9499" width="12.44140625" style="72" hidden="1"/>
    <col min="9500" max="9508" width="12" style="72" hidden="1"/>
    <col min="9509" max="9728" width="9.44140625" style="72" hidden="1"/>
    <col min="9729" max="9729" width="2.44140625" style="72" hidden="1"/>
    <col min="9730" max="9730" width="3.5546875" style="72" hidden="1"/>
    <col min="9731" max="9731" width="2.5546875" style="72" hidden="1"/>
    <col min="9732" max="9732" width="39.44140625" style="72" hidden="1"/>
    <col min="9733" max="9733" width="11.44140625" style="72" hidden="1"/>
    <col min="9734" max="9734" width="11.5546875" style="72" hidden="1"/>
    <col min="9735" max="9735" width="11.44140625" style="72" hidden="1"/>
    <col min="9736" max="9736" width="11.5546875" style="72" hidden="1"/>
    <col min="9737" max="9750" width="12.44140625" style="72" hidden="1"/>
    <col min="9751" max="9751" width="12" style="72" hidden="1"/>
    <col min="9752" max="9755" width="12.44140625" style="72" hidden="1"/>
    <col min="9756" max="9764" width="12" style="72" hidden="1"/>
    <col min="9765" max="9984" width="9.44140625" style="72" hidden="1"/>
    <col min="9985" max="9985" width="2.44140625" style="72" hidden="1"/>
    <col min="9986" max="9986" width="3.5546875" style="72" hidden="1"/>
    <col min="9987" max="9987" width="2.5546875" style="72" hidden="1"/>
    <col min="9988" max="9988" width="39.44140625" style="72" hidden="1"/>
    <col min="9989" max="9989" width="11.44140625" style="72" hidden="1"/>
    <col min="9990" max="9990" width="11.5546875" style="72" hidden="1"/>
    <col min="9991" max="9991" width="11.44140625" style="72" hidden="1"/>
    <col min="9992" max="9992" width="11.5546875" style="72" hidden="1"/>
    <col min="9993" max="10006" width="12.44140625" style="72" hidden="1"/>
    <col min="10007" max="10007" width="12" style="72" hidden="1"/>
    <col min="10008" max="10011" width="12.44140625" style="72" hidden="1"/>
    <col min="10012" max="10020" width="12" style="72" hidden="1"/>
    <col min="10021" max="10240" width="9.44140625" style="72" hidden="1"/>
    <col min="10241" max="10241" width="2.44140625" style="72" hidden="1"/>
    <col min="10242" max="10242" width="3.5546875" style="72" hidden="1"/>
    <col min="10243" max="10243" width="2.5546875" style="72" hidden="1"/>
    <col min="10244" max="10244" width="39.44140625" style="72" hidden="1"/>
    <col min="10245" max="10245" width="11.44140625" style="72" hidden="1"/>
    <col min="10246" max="10246" width="11.5546875" style="72" hidden="1"/>
    <col min="10247" max="10247" width="11.44140625" style="72" hidden="1"/>
    <col min="10248" max="10248" width="11.5546875" style="72" hidden="1"/>
    <col min="10249" max="10262" width="12.44140625" style="72" hidden="1"/>
    <col min="10263" max="10263" width="12" style="72" hidden="1"/>
    <col min="10264" max="10267" width="12.44140625" style="72" hidden="1"/>
    <col min="10268" max="10276" width="12" style="72" hidden="1"/>
    <col min="10277" max="10496" width="9.44140625" style="72" hidden="1"/>
    <col min="10497" max="10497" width="2.44140625" style="72" hidden="1"/>
    <col min="10498" max="10498" width="3.5546875" style="72" hidden="1"/>
    <col min="10499" max="10499" width="2.5546875" style="72" hidden="1"/>
    <col min="10500" max="10500" width="39.44140625" style="72" hidden="1"/>
    <col min="10501" max="10501" width="11.44140625" style="72" hidden="1"/>
    <col min="10502" max="10502" width="11.5546875" style="72" hidden="1"/>
    <col min="10503" max="10503" width="11.44140625" style="72" hidden="1"/>
    <col min="10504" max="10504" width="11.5546875" style="72" hidden="1"/>
    <col min="10505" max="10518" width="12.44140625" style="72" hidden="1"/>
    <col min="10519" max="10519" width="12" style="72" hidden="1"/>
    <col min="10520" max="10523" width="12.44140625" style="72" hidden="1"/>
    <col min="10524" max="10532" width="12" style="72" hidden="1"/>
    <col min="10533" max="10752" width="9.44140625" style="72" hidden="1"/>
    <col min="10753" max="10753" width="2.44140625" style="72" hidden="1"/>
    <col min="10754" max="10754" width="3.5546875" style="72" hidden="1"/>
    <col min="10755" max="10755" width="2.5546875" style="72" hidden="1"/>
    <col min="10756" max="10756" width="39.44140625" style="72" hidden="1"/>
    <col min="10757" max="10757" width="11.44140625" style="72" hidden="1"/>
    <col min="10758" max="10758" width="11.5546875" style="72" hidden="1"/>
    <col min="10759" max="10759" width="11.44140625" style="72" hidden="1"/>
    <col min="10760" max="10760" width="11.5546875" style="72" hidden="1"/>
    <col min="10761" max="10774" width="12.44140625" style="72" hidden="1"/>
    <col min="10775" max="10775" width="12" style="72" hidden="1"/>
    <col min="10776" max="10779" width="12.44140625" style="72" hidden="1"/>
    <col min="10780" max="10788" width="12" style="72" hidden="1"/>
    <col min="10789" max="11008" width="9.44140625" style="72" hidden="1"/>
    <col min="11009" max="11009" width="2.44140625" style="72" hidden="1"/>
    <col min="11010" max="11010" width="3.5546875" style="72" hidden="1"/>
    <col min="11011" max="11011" width="2.5546875" style="72" hidden="1"/>
    <col min="11012" max="11012" width="39.44140625" style="72" hidden="1"/>
    <col min="11013" max="11013" width="11.44140625" style="72" hidden="1"/>
    <col min="11014" max="11014" width="11.5546875" style="72" hidden="1"/>
    <col min="11015" max="11015" width="11.44140625" style="72" hidden="1"/>
    <col min="11016" max="11016" width="11.5546875" style="72" hidden="1"/>
    <col min="11017" max="11030" width="12.44140625" style="72" hidden="1"/>
    <col min="11031" max="11031" width="12" style="72" hidden="1"/>
    <col min="11032" max="11035" width="12.44140625" style="72" hidden="1"/>
    <col min="11036" max="11044" width="12" style="72" hidden="1"/>
    <col min="11045" max="11264" width="9.44140625" style="72" hidden="1"/>
    <col min="11265" max="11265" width="2.44140625" style="72" hidden="1"/>
    <col min="11266" max="11266" width="3.5546875" style="72" hidden="1"/>
    <col min="11267" max="11267" width="2.5546875" style="72" hidden="1"/>
    <col min="11268" max="11268" width="39.44140625" style="72" hidden="1"/>
    <col min="11269" max="11269" width="11.44140625" style="72" hidden="1"/>
    <col min="11270" max="11270" width="11.5546875" style="72" hidden="1"/>
    <col min="11271" max="11271" width="11.44140625" style="72" hidden="1"/>
    <col min="11272" max="11272" width="11.5546875" style="72" hidden="1"/>
    <col min="11273" max="11286" width="12.44140625" style="72" hidden="1"/>
    <col min="11287" max="11287" width="12" style="72" hidden="1"/>
    <col min="11288" max="11291" width="12.44140625" style="72" hidden="1"/>
    <col min="11292" max="11300" width="12" style="72" hidden="1"/>
    <col min="11301" max="11520" width="9.44140625" style="72" hidden="1"/>
    <col min="11521" max="11521" width="2.44140625" style="72" hidden="1"/>
    <col min="11522" max="11522" width="3.5546875" style="72" hidden="1"/>
    <col min="11523" max="11523" width="2.5546875" style="72" hidden="1"/>
    <col min="11524" max="11524" width="39.44140625" style="72" hidden="1"/>
    <col min="11525" max="11525" width="11.44140625" style="72" hidden="1"/>
    <col min="11526" max="11526" width="11.5546875" style="72" hidden="1"/>
    <col min="11527" max="11527" width="11.44140625" style="72" hidden="1"/>
    <col min="11528" max="11528" width="11.5546875" style="72" hidden="1"/>
    <col min="11529" max="11542" width="12.44140625" style="72" hidden="1"/>
    <col min="11543" max="11543" width="12" style="72" hidden="1"/>
    <col min="11544" max="11547" width="12.44140625" style="72" hidden="1"/>
    <col min="11548" max="11556" width="12" style="72" hidden="1"/>
    <col min="11557" max="11776" width="9.44140625" style="72" hidden="1"/>
    <col min="11777" max="11777" width="2.44140625" style="72" hidden="1"/>
    <col min="11778" max="11778" width="3.5546875" style="72" hidden="1"/>
    <col min="11779" max="11779" width="2.5546875" style="72" hidden="1"/>
    <col min="11780" max="11780" width="39.44140625" style="72" hidden="1"/>
    <col min="11781" max="11781" width="11.44140625" style="72" hidden="1"/>
    <col min="11782" max="11782" width="11.5546875" style="72" hidden="1"/>
    <col min="11783" max="11783" width="11.44140625" style="72" hidden="1"/>
    <col min="11784" max="11784" width="11.5546875" style="72" hidden="1"/>
    <col min="11785" max="11798" width="12.44140625" style="72" hidden="1"/>
    <col min="11799" max="11799" width="12" style="72" hidden="1"/>
    <col min="11800" max="11803" width="12.44140625" style="72" hidden="1"/>
    <col min="11804" max="11812" width="12" style="72" hidden="1"/>
    <col min="11813" max="12032" width="9.44140625" style="72" hidden="1"/>
    <col min="12033" max="12033" width="2.44140625" style="72" hidden="1"/>
    <col min="12034" max="12034" width="3.5546875" style="72" hidden="1"/>
    <col min="12035" max="12035" width="2.5546875" style="72" hidden="1"/>
    <col min="12036" max="12036" width="39.44140625" style="72" hidden="1"/>
    <col min="12037" max="12037" width="11.44140625" style="72" hidden="1"/>
    <col min="12038" max="12038" width="11.5546875" style="72" hidden="1"/>
    <col min="12039" max="12039" width="11.44140625" style="72" hidden="1"/>
    <col min="12040" max="12040" width="11.5546875" style="72" hidden="1"/>
    <col min="12041" max="12054" width="12.44140625" style="72" hidden="1"/>
    <col min="12055" max="12055" width="12" style="72" hidden="1"/>
    <col min="12056" max="12059" width="12.44140625" style="72" hidden="1"/>
    <col min="12060" max="12068" width="12" style="72" hidden="1"/>
    <col min="12069" max="12288" width="9.44140625" style="72" hidden="1"/>
    <col min="12289" max="12289" width="2.44140625" style="72" hidden="1"/>
    <col min="12290" max="12290" width="3.5546875" style="72" hidden="1"/>
    <col min="12291" max="12291" width="2.5546875" style="72" hidden="1"/>
    <col min="12292" max="12292" width="39.44140625" style="72" hidden="1"/>
    <col min="12293" max="12293" width="11.44140625" style="72" hidden="1"/>
    <col min="12294" max="12294" width="11.5546875" style="72" hidden="1"/>
    <col min="12295" max="12295" width="11.44140625" style="72" hidden="1"/>
    <col min="12296" max="12296" width="11.5546875" style="72" hidden="1"/>
    <col min="12297" max="12310" width="12.44140625" style="72" hidden="1"/>
    <col min="12311" max="12311" width="12" style="72" hidden="1"/>
    <col min="12312" max="12315" width="12.44140625" style="72" hidden="1"/>
    <col min="12316" max="12324" width="12" style="72" hidden="1"/>
    <col min="12325" max="12544" width="9.44140625" style="72" hidden="1"/>
    <col min="12545" max="12545" width="2.44140625" style="72" hidden="1"/>
    <col min="12546" max="12546" width="3.5546875" style="72" hidden="1"/>
    <col min="12547" max="12547" width="2.5546875" style="72" hidden="1"/>
    <col min="12548" max="12548" width="39.44140625" style="72" hidden="1"/>
    <col min="12549" max="12549" width="11.44140625" style="72" hidden="1"/>
    <col min="12550" max="12550" width="11.5546875" style="72" hidden="1"/>
    <col min="12551" max="12551" width="11.44140625" style="72" hidden="1"/>
    <col min="12552" max="12552" width="11.5546875" style="72" hidden="1"/>
    <col min="12553" max="12566" width="12.44140625" style="72" hidden="1"/>
    <col min="12567" max="12567" width="12" style="72" hidden="1"/>
    <col min="12568" max="12571" width="12.44140625" style="72" hidden="1"/>
    <col min="12572" max="12580" width="12" style="72" hidden="1"/>
    <col min="12581" max="12800" width="9.44140625" style="72" hidden="1"/>
    <col min="12801" max="12801" width="2.44140625" style="72" hidden="1"/>
    <col min="12802" max="12802" width="3.5546875" style="72" hidden="1"/>
    <col min="12803" max="12803" width="2.5546875" style="72" hidden="1"/>
    <col min="12804" max="12804" width="39.44140625" style="72" hidden="1"/>
    <col min="12805" max="12805" width="11.44140625" style="72" hidden="1"/>
    <col min="12806" max="12806" width="11.5546875" style="72" hidden="1"/>
    <col min="12807" max="12807" width="11.44140625" style="72" hidden="1"/>
    <col min="12808" max="12808" width="11.5546875" style="72" hidden="1"/>
    <col min="12809" max="12822" width="12.44140625" style="72" hidden="1"/>
    <col min="12823" max="12823" width="12" style="72" hidden="1"/>
    <col min="12824" max="12827" width="12.44140625" style="72" hidden="1"/>
    <col min="12828" max="12836" width="12" style="72" hidden="1"/>
    <col min="12837" max="13056" width="9.44140625" style="72" hidden="1"/>
    <col min="13057" max="13057" width="2.44140625" style="72" hidden="1"/>
    <col min="13058" max="13058" width="3.5546875" style="72" hidden="1"/>
    <col min="13059" max="13059" width="2.5546875" style="72" hidden="1"/>
    <col min="13060" max="13060" width="39.44140625" style="72" hidden="1"/>
    <col min="13061" max="13061" width="11.44140625" style="72" hidden="1"/>
    <col min="13062" max="13062" width="11.5546875" style="72" hidden="1"/>
    <col min="13063" max="13063" width="11.44140625" style="72" hidden="1"/>
    <col min="13064" max="13064" width="11.5546875" style="72" hidden="1"/>
    <col min="13065" max="13078" width="12.44140625" style="72" hidden="1"/>
    <col min="13079" max="13079" width="12" style="72" hidden="1"/>
    <col min="13080" max="13083" width="12.44140625" style="72" hidden="1"/>
    <col min="13084" max="13092" width="12" style="72" hidden="1"/>
    <col min="13093" max="13312" width="9.44140625" style="72" hidden="1"/>
    <col min="13313" max="13313" width="2.44140625" style="72" hidden="1"/>
    <col min="13314" max="13314" width="3.5546875" style="72" hidden="1"/>
    <col min="13315" max="13315" width="2.5546875" style="72" hidden="1"/>
    <col min="13316" max="13316" width="39.44140625" style="72" hidden="1"/>
    <col min="13317" max="13317" width="11.44140625" style="72" hidden="1"/>
    <col min="13318" max="13318" width="11.5546875" style="72" hidden="1"/>
    <col min="13319" max="13319" width="11.44140625" style="72" hidden="1"/>
    <col min="13320" max="13320" width="11.5546875" style="72" hidden="1"/>
    <col min="13321" max="13334" width="12.44140625" style="72" hidden="1"/>
    <col min="13335" max="13335" width="12" style="72" hidden="1"/>
    <col min="13336" max="13339" width="12.44140625" style="72" hidden="1"/>
    <col min="13340" max="13348" width="12" style="72" hidden="1"/>
    <col min="13349" max="13568" width="9.44140625" style="72" hidden="1"/>
    <col min="13569" max="13569" width="2.44140625" style="72" hidden="1"/>
    <col min="13570" max="13570" width="3.5546875" style="72" hidden="1"/>
    <col min="13571" max="13571" width="2.5546875" style="72" hidden="1"/>
    <col min="13572" max="13572" width="39.44140625" style="72" hidden="1"/>
    <col min="13573" max="13573" width="11.44140625" style="72" hidden="1"/>
    <col min="13574" max="13574" width="11.5546875" style="72" hidden="1"/>
    <col min="13575" max="13575" width="11.44140625" style="72" hidden="1"/>
    <col min="13576" max="13576" width="11.5546875" style="72" hidden="1"/>
    <col min="13577" max="13590" width="12.44140625" style="72" hidden="1"/>
    <col min="13591" max="13591" width="12" style="72" hidden="1"/>
    <col min="13592" max="13595" width="12.44140625" style="72" hidden="1"/>
    <col min="13596" max="13604" width="12" style="72" hidden="1"/>
    <col min="13605" max="13824" width="9.44140625" style="72" hidden="1"/>
    <col min="13825" max="13825" width="2.44140625" style="72" hidden="1"/>
    <col min="13826" max="13826" width="3.5546875" style="72" hidden="1"/>
    <col min="13827" max="13827" width="2.5546875" style="72" hidden="1"/>
    <col min="13828" max="13828" width="39.44140625" style="72" hidden="1"/>
    <col min="13829" max="13829" width="11.44140625" style="72" hidden="1"/>
    <col min="13830" max="13830" width="11.5546875" style="72" hidden="1"/>
    <col min="13831" max="13831" width="11.44140625" style="72" hidden="1"/>
    <col min="13832" max="13832" width="11.5546875" style="72" hidden="1"/>
    <col min="13833" max="13846" width="12.44140625" style="72" hidden="1"/>
    <col min="13847" max="13847" width="12" style="72" hidden="1"/>
    <col min="13848" max="13851" width="12.44140625" style="72" hidden="1"/>
    <col min="13852" max="13860" width="12" style="72" hidden="1"/>
    <col min="13861" max="14080" width="9.44140625" style="72" hidden="1"/>
    <col min="14081" max="14081" width="2.44140625" style="72" hidden="1"/>
    <col min="14082" max="14082" width="3.5546875" style="72" hidden="1"/>
    <col min="14083" max="14083" width="2.5546875" style="72" hidden="1"/>
    <col min="14084" max="14084" width="39.44140625" style="72" hidden="1"/>
    <col min="14085" max="14085" width="11.44140625" style="72" hidden="1"/>
    <col min="14086" max="14086" width="11.5546875" style="72" hidden="1"/>
    <col min="14087" max="14087" width="11.44140625" style="72" hidden="1"/>
    <col min="14088" max="14088" width="11.5546875" style="72" hidden="1"/>
    <col min="14089" max="14102" width="12.44140625" style="72" hidden="1"/>
    <col min="14103" max="14103" width="12" style="72" hidden="1"/>
    <col min="14104" max="14107" width="12.44140625" style="72" hidden="1"/>
    <col min="14108" max="14116" width="12" style="72" hidden="1"/>
    <col min="14117" max="14336" width="9.44140625" style="72" hidden="1"/>
    <col min="14337" max="14337" width="2.44140625" style="72" hidden="1"/>
    <col min="14338" max="14338" width="3.5546875" style="72" hidden="1"/>
    <col min="14339" max="14339" width="2.5546875" style="72" hidden="1"/>
    <col min="14340" max="14340" width="39.44140625" style="72" hidden="1"/>
    <col min="14341" max="14341" width="11.44140625" style="72" hidden="1"/>
    <col min="14342" max="14342" width="11.5546875" style="72" hidden="1"/>
    <col min="14343" max="14343" width="11.44140625" style="72" hidden="1"/>
    <col min="14344" max="14344" width="11.5546875" style="72" hidden="1"/>
    <col min="14345" max="14358" width="12.44140625" style="72" hidden="1"/>
    <col min="14359" max="14359" width="12" style="72" hidden="1"/>
    <col min="14360" max="14363" width="12.44140625" style="72" hidden="1"/>
    <col min="14364" max="14372" width="12" style="72" hidden="1"/>
    <col min="14373" max="14592" width="9.44140625" style="72" hidden="1"/>
    <col min="14593" max="14593" width="2.44140625" style="72" hidden="1"/>
    <col min="14594" max="14594" width="3.5546875" style="72" hidden="1"/>
    <col min="14595" max="14595" width="2.5546875" style="72" hidden="1"/>
    <col min="14596" max="14596" width="39.44140625" style="72" hidden="1"/>
    <col min="14597" max="14597" width="11.44140625" style="72" hidden="1"/>
    <col min="14598" max="14598" width="11.5546875" style="72" hidden="1"/>
    <col min="14599" max="14599" width="11.44140625" style="72" hidden="1"/>
    <col min="14600" max="14600" width="11.5546875" style="72" hidden="1"/>
    <col min="14601" max="14614" width="12.44140625" style="72" hidden="1"/>
    <col min="14615" max="14615" width="12" style="72" hidden="1"/>
    <col min="14616" max="14619" width="12.44140625" style="72" hidden="1"/>
    <col min="14620" max="14628" width="12" style="72" hidden="1"/>
    <col min="14629" max="14848" width="9.44140625" style="72" hidden="1"/>
    <col min="14849" max="14849" width="2.44140625" style="72" hidden="1"/>
    <col min="14850" max="14850" width="3.5546875" style="72" hidden="1"/>
    <col min="14851" max="14851" width="2.5546875" style="72" hidden="1"/>
    <col min="14852" max="14852" width="39.44140625" style="72" hidden="1"/>
    <col min="14853" max="14853" width="11.44140625" style="72" hidden="1"/>
    <col min="14854" max="14854" width="11.5546875" style="72" hidden="1"/>
    <col min="14855" max="14855" width="11.44140625" style="72" hidden="1"/>
    <col min="14856" max="14856" width="11.5546875" style="72" hidden="1"/>
    <col min="14857" max="14870" width="12.44140625" style="72" hidden="1"/>
    <col min="14871" max="14871" width="12" style="72" hidden="1"/>
    <col min="14872" max="14875" width="12.44140625" style="72" hidden="1"/>
    <col min="14876" max="14884" width="12" style="72" hidden="1"/>
    <col min="14885" max="15104" width="9.44140625" style="72" hidden="1"/>
    <col min="15105" max="15105" width="2.44140625" style="72" hidden="1"/>
    <col min="15106" max="15106" width="3.5546875" style="72" hidden="1"/>
    <col min="15107" max="15107" width="2.5546875" style="72" hidden="1"/>
    <col min="15108" max="15108" width="39.44140625" style="72" hidden="1"/>
    <col min="15109" max="15109" width="11.44140625" style="72" hidden="1"/>
    <col min="15110" max="15110" width="11.5546875" style="72" hidden="1"/>
    <col min="15111" max="15111" width="11.44140625" style="72" hidden="1"/>
    <col min="15112" max="15112" width="11.5546875" style="72" hidden="1"/>
    <col min="15113" max="15126" width="12.44140625" style="72" hidden="1"/>
    <col min="15127" max="15127" width="12" style="72" hidden="1"/>
    <col min="15128" max="15131" width="12.44140625" style="72" hidden="1"/>
    <col min="15132" max="15140" width="12" style="72" hidden="1"/>
    <col min="15141" max="15360" width="9.44140625" style="72" hidden="1"/>
    <col min="15361" max="15361" width="2.44140625" style="72" hidden="1"/>
    <col min="15362" max="15362" width="3.5546875" style="72" hidden="1"/>
    <col min="15363" max="15363" width="2.5546875" style="72" hidden="1"/>
    <col min="15364" max="15364" width="39.44140625" style="72" hidden="1"/>
    <col min="15365" max="15365" width="11.44140625" style="72" hidden="1"/>
    <col min="15366" max="15366" width="11.5546875" style="72" hidden="1"/>
    <col min="15367" max="15367" width="11.44140625" style="72" hidden="1"/>
    <col min="15368" max="15368" width="11.5546875" style="72" hidden="1"/>
    <col min="15369" max="15382" width="12.44140625" style="72" hidden="1"/>
    <col min="15383" max="15383" width="12" style="72" hidden="1"/>
    <col min="15384" max="15387" width="12.44140625" style="72" hidden="1"/>
    <col min="15388" max="15396" width="12" style="72" hidden="1"/>
    <col min="15397" max="15616" width="9.44140625" style="72" hidden="1"/>
    <col min="15617" max="15617" width="2.44140625" style="72" hidden="1"/>
    <col min="15618" max="15618" width="3.5546875" style="72" hidden="1"/>
    <col min="15619" max="15619" width="2.5546875" style="72" hidden="1"/>
    <col min="15620" max="15620" width="39.44140625" style="72" hidden="1"/>
    <col min="15621" max="15621" width="11.44140625" style="72" hidden="1"/>
    <col min="15622" max="15622" width="11.5546875" style="72" hidden="1"/>
    <col min="15623" max="15623" width="11.44140625" style="72" hidden="1"/>
    <col min="15624" max="15624" width="11.5546875" style="72" hidden="1"/>
    <col min="15625" max="15638" width="12.44140625" style="72" hidden="1"/>
    <col min="15639" max="15639" width="12" style="72" hidden="1"/>
    <col min="15640" max="15643" width="12.44140625" style="72" hidden="1"/>
    <col min="15644" max="15652" width="12" style="72" hidden="1"/>
    <col min="15653" max="15872" width="9.44140625" style="72" hidden="1"/>
    <col min="15873" max="15873" width="2.44140625" style="72" hidden="1"/>
    <col min="15874" max="15874" width="3.5546875" style="72" hidden="1"/>
    <col min="15875" max="15875" width="2.5546875" style="72" hidden="1"/>
    <col min="15876" max="15876" width="39.44140625" style="72" hidden="1"/>
    <col min="15877" max="15877" width="11.44140625" style="72" hidden="1"/>
    <col min="15878" max="15878" width="11.5546875" style="72" hidden="1"/>
    <col min="15879" max="15879" width="11.44140625" style="72" hidden="1"/>
    <col min="15880" max="15880" width="11.5546875" style="72" hidden="1"/>
    <col min="15881" max="15894" width="12.44140625" style="72" hidden="1"/>
    <col min="15895" max="15895" width="12" style="72" hidden="1"/>
    <col min="15896" max="15899" width="12.44140625" style="72" hidden="1"/>
    <col min="15900" max="15908" width="12" style="72" hidden="1"/>
    <col min="15909" max="16128" width="9.44140625" style="72" hidden="1"/>
    <col min="16129" max="16129" width="2.44140625" style="72" hidden="1"/>
    <col min="16130" max="16130" width="3.5546875" style="72" hidden="1"/>
    <col min="16131" max="16131" width="2.5546875" style="72" hidden="1"/>
    <col min="16132" max="16132" width="39.44140625" style="72" hidden="1"/>
    <col min="16133" max="16133" width="11.44140625" style="72" hidden="1"/>
    <col min="16134" max="16134" width="11.5546875" style="72" hidden="1"/>
    <col min="16135" max="16135" width="11.44140625" style="72" hidden="1"/>
    <col min="16136" max="16136" width="11.5546875" style="72" hidden="1"/>
    <col min="16137" max="16150" width="12.44140625" style="72" hidden="1"/>
    <col min="16151" max="16151" width="12" style="72" hidden="1"/>
    <col min="16152" max="16155" width="12.44140625" style="72" hidden="1"/>
    <col min="16156" max="16164" width="12" style="72" hidden="1"/>
    <col min="16165" max="16384" width="9.44140625" style="72" hidden="1"/>
  </cols>
  <sheetData>
    <row r="1" spans="1:36" ht="21" x14ac:dyDescent="0.4">
      <c r="A1" s="959" t="s">
        <v>78</v>
      </c>
      <c r="B1" s="959"/>
      <c r="C1" s="959"/>
      <c r="D1" s="959"/>
      <c r="E1" s="959"/>
      <c r="F1" s="959"/>
      <c r="G1" s="959"/>
      <c r="H1" s="959"/>
      <c r="I1" s="959"/>
      <c r="J1" s="959"/>
      <c r="K1" s="959"/>
      <c r="L1" s="959"/>
      <c r="M1" s="959"/>
      <c r="N1" s="959"/>
      <c r="O1" s="959"/>
      <c r="P1" s="959"/>
      <c r="Q1" s="959"/>
      <c r="R1" s="959"/>
      <c r="S1" s="959"/>
      <c r="T1" s="959"/>
      <c r="U1" s="959"/>
      <c r="V1" s="959"/>
      <c r="W1" s="959"/>
      <c r="X1" s="959"/>
      <c r="Y1" s="959"/>
      <c r="Z1" s="959"/>
      <c r="AA1" s="959"/>
      <c r="AB1" s="959"/>
      <c r="AC1" s="959"/>
      <c r="AD1" s="959"/>
      <c r="AE1" s="959"/>
    </row>
    <row r="2" spans="1:36" ht="15.6" x14ac:dyDescent="0.3">
      <c r="A2" s="70" t="str">
        <f>'Fin Inputs'!$A$2</f>
        <v>Storage Financial Analysis Model</v>
      </c>
      <c r="B2" s="71"/>
      <c r="D2" s="73"/>
      <c r="G2" s="123">
        <v>1</v>
      </c>
      <c r="H2" s="123">
        <f t="shared" ref="H2:Z2" si="0">G2+1</f>
        <v>2</v>
      </c>
      <c r="I2" s="123">
        <f t="shared" si="0"/>
        <v>3</v>
      </c>
      <c r="J2" s="123">
        <f t="shared" si="0"/>
        <v>4</v>
      </c>
      <c r="K2" s="123">
        <f t="shared" si="0"/>
        <v>5</v>
      </c>
      <c r="L2" s="123">
        <f t="shared" si="0"/>
        <v>6</v>
      </c>
      <c r="M2" s="123">
        <f t="shared" si="0"/>
        <v>7</v>
      </c>
      <c r="N2" s="123">
        <f t="shared" si="0"/>
        <v>8</v>
      </c>
      <c r="O2" s="123">
        <f t="shared" si="0"/>
        <v>9</v>
      </c>
      <c r="P2" s="123">
        <f t="shared" si="0"/>
        <v>10</v>
      </c>
      <c r="Q2" s="123">
        <f t="shared" si="0"/>
        <v>11</v>
      </c>
      <c r="R2" s="123">
        <f t="shared" si="0"/>
        <v>12</v>
      </c>
      <c r="S2" s="123">
        <f t="shared" si="0"/>
        <v>13</v>
      </c>
      <c r="T2" s="123">
        <f t="shared" si="0"/>
        <v>14</v>
      </c>
      <c r="U2" s="123">
        <f t="shared" si="0"/>
        <v>15</v>
      </c>
      <c r="V2" s="123">
        <f t="shared" si="0"/>
        <v>16</v>
      </c>
      <c r="W2" s="123">
        <f t="shared" si="0"/>
        <v>17</v>
      </c>
      <c r="X2" s="123">
        <f t="shared" si="0"/>
        <v>18</v>
      </c>
      <c r="Y2" s="123">
        <f t="shared" si="0"/>
        <v>19</v>
      </c>
      <c r="Z2" s="123">
        <f t="shared" si="0"/>
        <v>20</v>
      </c>
      <c r="AA2" s="123">
        <f>Z2+1</f>
        <v>21</v>
      </c>
      <c r="AB2" s="123">
        <f>AA2+1</f>
        <v>22</v>
      </c>
      <c r="AC2" s="123">
        <f>AB2+1</f>
        <v>23</v>
      </c>
      <c r="AD2" s="123">
        <f>AC2+1</f>
        <v>24</v>
      </c>
      <c r="AE2" s="123">
        <f>AD2+1</f>
        <v>25</v>
      </c>
      <c r="AF2" s="123"/>
      <c r="AG2" s="123"/>
      <c r="AH2" s="123"/>
      <c r="AI2" s="123"/>
      <c r="AJ2" s="123"/>
    </row>
    <row r="3" spans="1:36" x14ac:dyDescent="0.3">
      <c r="A3" s="74"/>
      <c r="B3" s="71"/>
      <c r="C3" s="74"/>
      <c r="D3" s="7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row>
    <row r="4" spans="1:36" x14ac:dyDescent="0.3">
      <c r="A4" s="77" t="str">
        <f>'Fin Inputs'!$A$4</f>
        <v>all monetary amounts are in nominal USD</v>
      </c>
      <c r="B4" s="71"/>
      <c r="D4" s="7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row>
    <row r="5" spans="1:36" x14ac:dyDescent="0.3">
      <c r="D5" s="73"/>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row>
    <row r="6" spans="1:36" ht="15" thickBot="1" x14ac:dyDescent="0.35">
      <c r="B6" s="81" t="s">
        <v>382</v>
      </c>
      <c r="C6" s="262"/>
      <c r="D6" s="83"/>
      <c r="E6" s="83"/>
      <c r="F6" s="83"/>
      <c r="G6" s="83"/>
      <c r="H6" s="83"/>
      <c r="I6" s="83"/>
      <c r="J6" s="83"/>
      <c r="K6" s="83"/>
      <c r="L6" s="83"/>
      <c r="M6" s="83"/>
      <c r="N6" s="83"/>
      <c r="O6" s="83"/>
      <c r="P6" s="83"/>
      <c r="Q6" s="83"/>
      <c r="R6" s="83"/>
      <c r="S6" s="83"/>
      <c r="T6" s="263"/>
      <c r="U6" s="263"/>
      <c r="V6" s="263"/>
      <c r="W6" s="263"/>
      <c r="X6" s="263"/>
      <c r="Y6" s="263"/>
      <c r="Z6" s="263"/>
      <c r="AA6" s="263"/>
      <c r="AB6" s="263"/>
      <c r="AC6" s="263"/>
      <c r="AD6" s="263"/>
      <c r="AE6" s="263"/>
      <c r="AF6" s="263"/>
      <c r="AG6" s="263"/>
      <c r="AH6" s="263"/>
      <c r="AI6" s="263"/>
      <c r="AJ6" s="263"/>
    </row>
    <row r="7" spans="1:36" x14ac:dyDescent="0.3">
      <c r="B7" s="37"/>
      <c r="C7" s="264"/>
      <c r="D7" s="37"/>
      <c r="E7" s="37"/>
      <c r="F7" s="37"/>
      <c r="G7" s="37"/>
      <c r="H7" s="37"/>
      <c r="I7" s="37"/>
      <c r="J7" s="37"/>
      <c r="K7" s="37"/>
      <c r="L7" s="37"/>
      <c r="M7" s="37"/>
      <c r="N7" s="37"/>
      <c r="O7" s="37"/>
      <c r="P7" s="37"/>
      <c r="Q7" s="37"/>
      <c r="R7" s="37"/>
      <c r="S7" s="37"/>
      <c r="T7" s="265"/>
      <c r="U7" s="265"/>
      <c r="V7" s="265"/>
      <c r="W7" s="265"/>
      <c r="X7" s="265"/>
      <c r="Y7" s="265"/>
      <c r="Z7" s="265"/>
      <c r="AA7" s="265"/>
      <c r="AB7" s="265"/>
      <c r="AC7" s="265"/>
      <c r="AD7" s="265"/>
      <c r="AE7" s="265"/>
      <c r="AF7" s="265"/>
      <c r="AG7" s="265"/>
      <c r="AH7" s="265"/>
      <c r="AI7" s="265"/>
      <c r="AJ7" s="265"/>
    </row>
    <row r="8" spans="1:36" x14ac:dyDescent="0.3">
      <c r="B8" s="37"/>
      <c r="D8" s="37" t="s">
        <v>183</v>
      </c>
      <c r="E8" s="266">
        <f>'Fin Inputs'!AC21</f>
        <v>0</v>
      </c>
      <c r="F8" s="37"/>
      <c r="G8" s="37"/>
      <c r="H8" s="37"/>
      <c r="I8" s="37"/>
      <c r="J8" s="37"/>
      <c r="K8" s="37"/>
      <c r="L8" s="37"/>
      <c r="M8" s="37"/>
      <c r="N8" s="37"/>
      <c r="O8" s="37"/>
      <c r="P8" s="37"/>
      <c r="Q8" s="37"/>
      <c r="R8" s="37"/>
      <c r="S8" s="37"/>
      <c r="T8" s="37"/>
      <c r="U8" s="267"/>
      <c r="V8" s="267"/>
      <c r="W8" s="267"/>
      <c r="X8" s="267"/>
      <c r="Y8" s="267"/>
      <c r="Z8" s="267"/>
      <c r="AA8" s="267"/>
      <c r="AB8" s="267"/>
      <c r="AC8" s="267"/>
      <c r="AD8" s="267"/>
      <c r="AE8" s="267"/>
      <c r="AF8" s="267"/>
      <c r="AG8" s="267"/>
      <c r="AH8" s="267"/>
      <c r="AI8" s="267"/>
      <c r="AJ8" s="267"/>
    </row>
    <row r="9" spans="1:36" x14ac:dyDescent="0.3">
      <c r="B9" s="37"/>
      <c r="D9" s="37" t="s">
        <v>383</v>
      </c>
      <c r="E9" s="268">
        <f>'Fin Inputs'!AC22</f>
        <v>10</v>
      </c>
      <c r="F9" s="37" t="s">
        <v>384</v>
      </c>
      <c r="G9" s="37"/>
      <c r="H9" s="37"/>
      <c r="I9" s="37"/>
      <c r="J9" s="37"/>
      <c r="K9" s="37"/>
      <c r="L9" s="37"/>
      <c r="M9" s="37"/>
      <c r="N9" s="37"/>
      <c r="O9" s="37"/>
      <c r="P9" s="37"/>
      <c r="Q9" s="37"/>
      <c r="R9" s="37"/>
      <c r="S9" s="37"/>
      <c r="T9" s="37"/>
    </row>
    <row r="10" spans="1:36" x14ac:dyDescent="0.3">
      <c r="B10" s="37"/>
      <c r="D10" s="37" t="s">
        <v>86</v>
      </c>
      <c r="E10" s="269">
        <f>'Fin Inputs'!AC23</f>
        <v>7.0000000000000007E-2</v>
      </c>
      <c r="F10" s="37"/>
      <c r="G10" s="37"/>
      <c r="H10" s="37"/>
      <c r="I10" s="37"/>
      <c r="J10" s="37"/>
      <c r="K10" s="37"/>
      <c r="L10" s="37"/>
      <c r="M10" s="37"/>
      <c r="N10" s="37"/>
      <c r="O10" s="37"/>
      <c r="P10" s="37"/>
      <c r="Q10" s="37"/>
      <c r="R10" s="37"/>
      <c r="S10" s="37"/>
      <c r="T10" s="37"/>
      <c r="U10" s="187"/>
      <c r="V10" s="187"/>
      <c r="W10" s="187"/>
      <c r="X10" s="187"/>
      <c r="Y10" s="187"/>
      <c r="Z10" s="187"/>
      <c r="AA10" s="187"/>
      <c r="AB10" s="187"/>
      <c r="AC10" s="187"/>
      <c r="AD10" s="187"/>
      <c r="AE10" s="187"/>
      <c r="AF10" s="187"/>
      <c r="AG10" s="187"/>
      <c r="AH10" s="187"/>
      <c r="AI10" s="187"/>
      <c r="AJ10" s="187"/>
    </row>
    <row r="11" spans="1:36" x14ac:dyDescent="0.3">
      <c r="B11" s="37"/>
      <c r="D11" s="37" t="s">
        <v>385</v>
      </c>
      <c r="E11" s="270">
        <f>'Fin Inputs'!AC24</f>
        <v>2</v>
      </c>
      <c r="G11" s="37"/>
      <c r="H11" s="37"/>
      <c r="I11" s="37"/>
      <c r="J11" s="37"/>
      <c r="K11" s="37"/>
      <c r="L11" s="37"/>
      <c r="M11" s="37"/>
      <c r="N11" s="37"/>
      <c r="O11" s="37"/>
      <c r="P11" s="37"/>
      <c r="Q11" s="37"/>
      <c r="R11" s="37"/>
      <c r="S11" s="37"/>
      <c r="T11" s="37"/>
    </row>
    <row r="12" spans="1:36" x14ac:dyDescent="0.3">
      <c r="B12" s="37"/>
      <c r="F12" s="37"/>
      <c r="G12" s="37"/>
      <c r="H12" s="37"/>
      <c r="I12" s="37"/>
      <c r="J12" s="37"/>
      <c r="K12" s="37"/>
      <c r="L12" s="37"/>
      <c r="M12" s="37"/>
      <c r="N12" s="37"/>
      <c r="O12" s="37"/>
      <c r="P12" s="37"/>
      <c r="Q12" s="37"/>
      <c r="R12" s="37"/>
      <c r="S12" s="37"/>
      <c r="T12" s="37"/>
    </row>
    <row r="13" spans="1:36" x14ac:dyDescent="0.3">
      <c r="B13" s="271"/>
      <c r="C13" s="188" t="s">
        <v>386</v>
      </c>
      <c r="D13" s="37" t="s">
        <v>99</v>
      </c>
      <c r="E13" s="272">
        <f>SUM(G13:AJ13)</f>
        <v>0</v>
      </c>
      <c r="G13" s="273">
        <f>IF(G$2&lt;=$E$9, -PPMT($E$10,G$2,$E$9,$E$8),0)</f>
        <v>0</v>
      </c>
      <c r="H13" s="273">
        <f t="shared" ref="H13:AE13" si="1">IF(H$2&lt;=$E$9, -PPMT($E$10,H$2,$E$9,$E$8),0)</f>
        <v>0</v>
      </c>
      <c r="I13" s="273">
        <f t="shared" si="1"/>
        <v>0</v>
      </c>
      <c r="J13" s="273">
        <f t="shared" si="1"/>
        <v>0</v>
      </c>
      <c r="K13" s="273">
        <f t="shared" si="1"/>
        <v>0</v>
      </c>
      <c r="L13" s="273">
        <f t="shared" si="1"/>
        <v>0</v>
      </c>
      <c r="M13" s="273">
        <f t="shared" si="1"/>
        <v>0</v>
      </c>
      <c r="N13" s="273">
        <f t="shared" si="1"/>
        <v>0</v>
      </c>
      <c r="O13" s="273">
        <f t="shared" si="1"/>
        <v>0</v>
      </c>
      <c r="P13" s="273">
        <f t="shared" si="1"/>
        <v>0</v>
      </c>
      <c r="Q13" s="273">
        <f t="shared" si="1"/>
        <v>0</v>
      </c>
      <c r="R13" s="273">
        <f t="shared" si="1"/>
        <v>0</v>
      </c>
      <c r="S13" s="273">
        <f t="shared" si="1"/>
        <v>0</v>
      </c>
      <c r="T13" s="273">
        <f t="shared" si="1"/>
        <v>0</v>
      </c>
      <c r="U13" s="273">
        <f t="shared" si="1"/>
        <v>0</v>
      </c>
      <c r="V13" s="273">
        <f t="shared" si="1"/>
        <v>0</v>
      </c>
      <c r="W13" s="273">
        <f t="shared" si="1"/>
        <v>0</v>
      </c>
      <c r="X13" s="273">
        <f t="shared" si="1"/>
        <v>0</v>
      </c>
      <c r="Y13" s="273">
        <f t="shared" si="1"/>
        <v>0</v>
      </c>
      <c r="Z13" s="273">
        <f t="shared" si="1"/>
        <v>0</v>
      </c>
      <c r="AA13" s="273">
        <f t="shared" si="1"/>
        <v>0</v>
      </c>
      <c r="AB13" s="273">
        <f t="shared" si="1"/>
        <v>0</v>
      </c>
      <c r="AC13" s="273">
        <f t="shared" si="1"/>
        <v>0</v>
      </c>
      <c r="AD13" s="273">
        <f t="shared" si="1"/>
        <v>0</v>
      </c>
      <c r="AE13" s="273">
        <f t="shared" si="1"/>
        <v>0</v>
      </c>
      <c r="AF13" s="273"/>
      <c r="AG13" s="273"/>
      <c r="AH13" s="273"/>
      <c r="AI13" s="273"/>
      <c r="AJ13" s="273"/>
    </row>
    <row r="14" spans="1:36" x14ac:dyDescent="0.3">
      <c r="C14" s="188" t="s">
        <v>386</v>
      </c>
      <c r="D14" s="37" t="s">
        <v>100</v>
      </c>
      <c r="G14" s="273">
        <f>IF(G$2&lt;=$E$9, -IPMT($E$10,G$2,$E$9,$E$8),0)</f>
        <v>0</v>
      </c>
      <c r="H14" s="273">
        <f>IF(H$2&lt;=$E$9, -IPMT($E$10,H$2,$E$9,$E$8),0)</f>
        <v>0</v>
      </c>
      <c r="I14" s="273">
        <f t="shared" ref="I14:AE14" si="2">IF(I$2&lt;=$E$9, -IPMT($E$10,I$2,$E$9,$E$8),0)</f>
        <v>0</v>
      </c>
      <c r="J14" s="273">
        <f t="shared" si="2"/>
        <v>0</v>
      </c>
      <c r="K14" s="273">
        <f t="shared" si="2"/>
        <v>0</v>
      </c>
      <c r="L14" s="273">
        <f t="shared" si="2"/>
        <v>0</v>
      </c>
      <c r="M14" s="273">
        <f t="shared" si="2"/>
        <v>0</v>
      </c>
      <c r="N14" s="273">
        <f t="shared" si="2"/>
        <v>0</v>
      </c>
      <c r="O14" s="273">
        <f t="shared" si="2"/>
        <v>0</v>
      </c>
      <c r="P14" s="273">
        <f t="shared" si="2"/>
        <v>0</v>
      </c>
      <c r="Q14" s="273">
        <f t="shared" si="2"/>
        <v>0</v>
      </c>
      <c r="R14" s="273">
        <f t="shared" si="2"/>
        <v>0</v>
      </c>
      <c r="S14" s="273">
        <f t="shared" si="2"/>
        <v>0</v>
      </c>
      <c r="T14" s="273">
        <f t="shared" si="2"/>
        <v>0</v>
      </c>
      <c r="U14" s="273">
        <f t="shared" si="2"/>
        <v>0</v>
      </c>
      <c r="V14" s="273">
        <f t="shared" si="2"/>
        <v>0</v>
      </c>
      <c r="W14" s="273">
        <f t="shared" si="2"/>
        <v>0</v>
      </c>
      <c r="X14" s="273">
        <f t="shared" si="2"/>
        <v>0</v>
      </c>
      <c r="Y14" s="273">
        <f t="shared" si="2"/>
        <v>0</v>
      </c>
      <c r="Z14" s="273">
        <f t="shared" si="2"/>
        <v>0</v>
      </c>
      <c r="AA14" s="273">
        <f t="shared" si="2"/>
        <v>0</v>
      </c>
      <c r="AB14" s="273">
        <f t="shared" si="2"/>
        <v>0</v>
      </c>
      <c r="AC14" s="273">
        <f t="shared" si="2"/>
        <v>0</v>
      </c>
      <c r="AD14" s="273">
        <f t="shared" si="2"/>
        <v>0</v>
      </c>
      <c r="AE14" s="273">
        <f t="shared" si="2"/>
        <v>0</v>
      </c>
      <c r="AF14" s="273"/>
      <c r="AG14" s="273"/>
      <c r="AH14" s="273"/>
      <c r="AI14" s="273"/>
      <c r="AJ14" s="273"/>
    </row>
    <row r="15" spans="1:36" x14ac:dyDescent="0.3">
      <c r="C15" s="188" t="s">
        <v>386</v>
      </c>
      <c r="D15" s="37" t="s">
        <v>101</v>
      </c>
      <c r="E15" s="274"/>
      <c r="G15" s="273">
        <f>-PMT($E$10,$E$9,$E$8)*(G2&lt;=$E$9)</f>
        <v>0</v>
      </c>
      <c r="H15" s="273">
        <f t="shared" ref="H15:Z15" si="3">-PMT($E$10,$E$9,$E$8)*(H2&lt;=$E$9)</f>
        <v>0</v>
      </c>
      <c r="I15" s="273">
        <f t="shared" si="3"/>
        <v>0</v>
      </c>
      <c r="J15" s="273">
        <f t="shared" si="3"/>
        <v>0</v>
      </c>
      <c r="K15" s="273">
        <f t="shared" si="3"/>
        <v>0</v>
      </c>
      <c r="L15" s="273">
        <f t="shared" si="3"/>
        <v>0</v>
      </c>
      <c r="M15" s="273">
        <f t="shared" si="3"/>
        <v>0</v>
      </c>
      <c r="N15" s="273">
        <f t="shared" si="3"/>
        <v>0</v>
      </c>
      <c r="O15" s="273">
        <f t="shared" si="3"/>
        <v>0</v>
      </c>
      <c r="P15" s="273">
        <f t="shared" si="3"/>
        <v>0</v>
      </c>
      <c r="Q15" s="273">
        <f t="shared" si="3"/>
        <v>0</v>
      </c>
      <c r="R15" s="273">
        <f t="shared" si="3"/>
        <v>0</v>
      </c>
      <c r="S15" s="273">
        <f t="shared" si="3"/>
        <v>0</v>
      </c>
      <c r="T15" s="273">
        <f t="shared" si="3"/>
        <v>0</v>
      </c>
      <c r="U15" s="273">
        <f t="shared" si="3"/>
        <v>0</v>
      </c>
      <c r="V15" s="273">
        <f t="shared" si="3"/>
        <v>0</v>
      </c>
      <c r="W15" s="273">
        <f t="shared" si="3"/>
        <v>0</v>
      </c>
      <c r="X15" s="273">
        <f t="shared" si="3"/>
        <v>0</v>
      </c>
      <c r="Y15" s="273">
        <f t="shared" si="3"/>
        <v>0</v>
      </c>
      <c r="Z15" s="273">
        <f t="shared" si="3"/>
        <v>0</v>
      </c>
      <c r="AA15" s="273">
        <f>-PMT($E$10,$E$9,$E$8)*(AA2&lt;=$E$9)</f>
        <v>0</v>
      </c>
      <c r="AB15" s="273">
        <f>-PMT($E$10,$E$9,$E$8)*(AB2&lt;=$E$9)</f>
        <v>0</v>
      </c>
      <c r="AC15" s="273">
        <f>-PMT($E$10,$E$9,$E$8)*(AC2&lt;=$E$9)</f>
        <v>0</v>
      </c>
      <c r="AD15" s="273">
        <f>-PMT($E$10,$E$9,$E$8)*(AD2&lt;=$E$9)</f>
        <v>0</v>
      </c>
      <c r="AE15" s="273">
        <f>-PMT($E$10,$E$9,$E$8)*(AE2&lt;=$E$9)</f>
        <v>0</v>
      </c>
      <c r="AF15" s="273"/>
      <c r="AG15" s="273"/>
      <c r="AH15" s="273"/>
      <c r="AI15" s="273"/>
      <c r="AJ15" s="273"/>
    </row>
    <row r="16" spans="1:36" x14ac:dyDescent="0.3">
      <c r="B16" s="189"/>
      <c r="C16" s="189"/>
      <c r="D16" s="275" t="s">
        <v>140</v>
      </c>
      <c r="E16" s="189"/>
      <c r="F16" s="189"/>
      <c r="G16" s="276">
        <f>SUM(G13:G14)-G15</f>
        <v>0</v>
      </c>
      <c r="H16" s="276">
        <f t="shared" ref="H16:Z16" si="4">SUM(H13:H14)-H15</f>
        <v>0</v>
      </c>
      <c r="I16" s="276">
        <f t="shared" si="4"/>
        <v>0</v>
      </c>
      <c r="J16" s="276">
        <f t="shared" si="4"/>
        <v>0</v>
      </c>
      <c r="K16" s="276">
        <f t="shared" si="4"/>
        <v>0</v>
      </c>
      <c r="L16" s="276">
        <f t="shared" si="4"/>
        <v>0</v>
      </c>
      <c r="M16" s="276">
        <f t="shared" si="4"/>
        <v>0</v>
      </c>
      <c r="N16" s="276">
        <f t="shared" si="4"/>
        <v>0</v>
      </c>
      <c r="O16" s="276">
        <f t="shared" si="4"/>
        <v>0</v>
      </c>
      <c r="P16" s="276">
        <f t="shared" si="4"/>
        <v>0</v>
      </c>
      <c r="Q16" s="276">
        <f t="shared" si="4"/>
        <v>0</v>
      </c>
      <c r="R16" s="276">
        <f t="shared" si="4"/>
        <v>0</v>
      </c>
      <c r="S16" s="276">
        <f t="shared" si="4"/>
        <v>0</v>
      </c>
      <c r="T16" s="276">
        <f t="shared" si="4"/>
        <v>0</v>
      </c>
      <c r="U16" s="276">
        <f t="shared" si="4"/>
        <v>0</v>
      </c>
      <c r="V16" s="276">
        <f t="shared" si="4"/>
        <v>0</v>
      </c>
      <c r="W16" s="276">
        <f t="shared" si="4"/>
        <v>0</v>
      </c>
      <c r="X16" s="276">
        <f t="shared" si="4"/>
        <v>0</v>
      </c>
      <c r="Y16" s="276">
        <f t="shared" si="4"/>
        <v>0</v>
      </c>
      <c r="Z16" s="276">
        <f t="shared" si="4"/>
        <v>0</v>
      </c>
      <c r="AA16" s="276">
        <f>SUM(AA13:AA14)-AA15</f>
        <v>0</v>
      </c>
      <c r="AB16" s="276">
        <f>SUM(AB13:AB14)-AB15</f>
        <v>0</v>
      </c>
      <c r="AC16" s="276">
        <f>SUM(AC13:AC14)-AC15</f>
        <v>0</v>
      </c>
      <c r="AD16" s="276">
        <f>SUM(AD13:AD14)-AD15</f>
        <v>0</v>
      </c>
      <c r="AE16" s="276">
        <f>SUM(AE13:AE14)-AE15</f>
        <v>0</v>
      </c>
      <c r="AF16" s="189"/>
      <c r="AG16" s="189"/>
      <c r="AH16" s="189"/>
      <c r="AI16" s="189"/>
      <c r="AJ16" s="189"/>
    </row>
    <row r="17" spans="3:36" x14ac:dyDescent="0.3">
      <c r="C17" s="72" t="s">
        <v>387</v>
      </c>
      <c r="F17" s="277">
        <f>E8</f>
        <v>0</v>
      </c>
      <c r="G17" s="278">
        <f>F17-G13</f>
        <v>0</v>
      </c>
      <c r="H17" s="278">
        <f>G17-H13</f>
        <v>0</v>
      </c>
      <c r="I17" s="278">
        <f t="shared" ref="I17:Z17" si="5">H17-I13</f>
        <v>0</v>
      </c>
      <c r="J17" s="278">
        <f t="shared" si="5"/>
        <v>0</v>
      </c>
      <c r="K17" s="278">
        <f t="shared" si="5"/>
        <v>0</v>
      </c>
      <c r="L17" s="278">
        <f t="shared" si="5"/>
        <v>0</v>
      </c>
      <c r="M17" s="278">
        <f t="shared" si="5"/>
        <v>0</v>
      </c>
      <c r="N17" s="278">
        <f t="shared" si="5"/>
        <v>0</v>
      </c>
      <c r="O17" s="278">
        <f t="shared" si="5"/>
        <v>0</v>
      </c>
      <c r="P17" s="278">
        <f t="shared" si="5"/>
        <v>0</v>
      </c>
      <c r="Q17" s="278">
        <f t="shared" si="5"/>
        <v>0</v>
      </c>
      <c r="R17" s="278">
        <f t="shared" si="5"/>
        <v>0</v>
      </c>
      <c r="S17" s="278">
        <f t="shared" si="5"/>
        <v>0</v>
      </c>
      <c r="T17" s="278">
        <f t="shared" si="5"/>
        <v>0</v>
      </c>
      <c r="U17" s="278">
        <f t="shared" si="5"/>
        <v>0</v>
      </c>
      <c r="V17" s="278">
        <f t="shared" si="5"/>
        <v>0</v>
      </c>
      <c r="W17" s="278">
        <f t="shared" si="5"/>
        <v>0</v>
      </c>
      <c r="X17" s="278">
        <f t="shared" si="5"/>
        <v>0</v>
      </c>
      <c r="Y17" s="278">
        <f t="shared" si="5"/>
        <v>0</v>
      </c>
      <c r="Z17" s="278">
        <f t="shared" si="5"/>
        <v>0</v>
      </c>
      <c r="AA17" s="278">
        <f>Z17-AA13</f>
        <v>0</v>
      </c>
      <c r="AB17" s="278">
        <f>AA17-AB13</f>
        <v>0</v>
      </c>
      <c r="AC17" s="278">
        <f>AB17-AC13</f>
        <v>0</v>
      </c>
      <c r="AD17" s="278">
        <f>AC17-AD13</f>
        <v>0</v>
      </c>
      <c r="AE17" s="278">
        <f>AD17-AE13</f>
        <v>0</v>
      </c>
      <c r="AF17" s="278"/>
      <c r="AG17" s="278"/>
      <c r="AH17" s="278"/>
      <c r="AI17" s="278"/>
      <c r="AJ17" s="278"/>
    </row>
    <row r="18" spans="3:36" x14ac:dyDescent="0.3">
      <c r="C18" t="s">
        <v>328</v>
      </c>
      <c r="G18" s="279" t="str">
        <f>'Fin Statement'!G56</f>
        <v/>
      </c>
      <c r="H18" s="279" t="str">
        <f>'Fin Statement'!H56</f>
        <v/>
      </c>
      <c r="I18" s="279" t="str">
        <f>'Fin Statement'!I56</f>
        <v/>
      </c>
      <c r="J18" s="279" t="str">
        <f>'Fin Statement'!J56</f>
        <v/>
      </c>
      <c r="K18" s="279" t="str">
        <f>'Fin Statement'!K56</f>
        <v/>
      </c>
      <c r="L18" s="279" t="str">
        <f>'Fin Statement'!L56</f>
        <v/>
      </c>
      <c r="M18" s="279" t="str">
        <f>'Fin Statement'!M56</f>
        <v/>
      </c>
      <c r="N18" s="279" t="str">
        <f>'Fin Statement'!N56</f>
        <v/>
      </c>
      <c r="O18" s="279" t="str">
        <f>'Fin Statement'!O56</f>
        <v/>
      </c>
      <c r="P18" s="279" t="str">
        <f>'Fin Statement'!P56</f>
        <v/>
      </c>
      <c r="Q18" s="279" t="str">
        <f>'Fin Statement'!Q56</f>
        <v/>
      </c>
      <c r="R18" s="279" t="str">
        <f>'Fin Statement'!R56</f>
        <v/>
      </c>
      <c r="S18" s="279" t="str">
        <f>'Fin Statement'!S56</f>
        <v/>
      </c>
      <c r="T18" s="279" t="str">
        <f>'Fin Statement'!T56</f>
        <v/>
      </c>
      <c r="U18" s="279" t="str">
        <f>'Fin Statement'!U56</f>
        <v/>
      </c>
      <c r="V18" s="279" t="str">
        <f>'Fin Statement'!V56</f>
        <v/>
      </c>
      <c r="W18" s="279" t="str">
        <f>'Fin Statement'!W56</f>
        <v/>
      </c>
      <c r="X18" s="279" t="str">
        <f>'Fin Statement'!X56</f>
        <v/>
      </c>
      <c r="Y18" s="279" t="str">
        <f>'Fin Statement'!Y56</f>
        <v/>
      </c>
      <c r="Z18" s="279" t="str">
        <f>'Fin Statement'!Z56</f>
        <v/>
      </c>
      <c r="AA18" s="279" t="str">
        <f>'Fin Statement'!AA56</f>
        <v/>
      </c>
      <c r="AB18" s="279" t="str">
        <f>'Fin Statement'!AB56</f>
        <v/>
      </c>
      <c r="AC18" s="279" t="str">
        <f>'Fin Statement'!AC56</f>
        <v/>
      </c>
      <c r="AD18" s="279" t="str">
        <f>'Fin Statement'!AD56</f>
        <v/>
      </c>
      <c r="AE18" s="279" t="str">
        <f>'Fin Statement'!AE56</f>
        <v/>
      </c>
      <c r="AF18" s="279"/>
      <c r="AG18" s="279"/>
      <c r="AH18" s="279"/>
      <c r="AI18" s="279"/>
      <c r="AJ18" s="279"/>
    </row>
    <row r="19" spans="3:36" x14ac:dyDescent="0.3">
      <c r="C19" t="s">
        <v>329</v>
      </c>
      <c r="G19" s="279" t="str">
        <f>'Fin Statement'!G57</f>
        <v/>
      </c>
      <c r="H19" s="279" t="str">
        <f>'Fin Statement'!H57</f>
        <v/>
      </c>
      <c r="I19" s="279" t="str">
        <f>'Fin Statement'!I57</f>
        <v/>
      </c>
      <c r="J19" s="279" t="str">
        <f>'Fin Statement'!J57</f>
        <v/>
      </c>
      <c r="K19" s="279" t="str">
        <f>'Fin Statement'!K57</f>
        <v/>
      </c>
      <c r="L19" s="279" t="str">
        <f>'Fin Statement'!L57</f>
        <v/>
      </c>
      <c r="M19" s="279" t="str">
        <f>'Fin Statement'!M57</f>
        <v/>
      </c>
      <c r="N19" s="279" t="str">
        <f>'Fin Statement'!N57</f>
        <v/>
      </c>
      <c r="O19" s="279" t="str">
        <f>'Fin Statement'!O57</f>
        <v/>
      </c>
      <c r="P19" s="279" t="str">
        <f>'Fin Statement'!P57</f>
        <v/>
      </c>
      <c r="Q19" s="279" t="str">
        <f>'Fin Statement'!Q57</f>
        <v/>
      </c>
      <c r="R19" s="279" t="str">
        <f>'Fin Statement'!R57</f>
        <v/>
      </c>
      <c r="S19" s="279" t="str">
        <f>'Fin Statement'!S57</f>
        <v/>
      </c>
      <c r="T19" s="279" t="str">
        <f>'Fin Statement'!T57</f>
        <v/>
      </c>
      <c r="U19" s="279" t="str">
        <f>'Fin Statement'!U57</f>
        <v/>
      </c>
      <c r="V19" s="279" t="str">
        <f>'Fin Statement'!V57</f>
        <v/>
      </c>
      <c r="W19" s="279" t="str">
        <f>'Fin Statement'!W57</f>
        <v/>
      </c>
      <c r="X19" s="279" t="str">
        <f>'Fin Statement'!X57</f>
        <v/>
      </c>
      <c r="Y19" s="279" t="str">
        <f>'Fin Statement'!Y57</f>
        <v/>
      </c>
      <c r="Z19" s="279" t="str">
        <f>'Fin Statement'!Z57</f>
        <v/>
      </c>
      <c r="AA19" s="279" t="str">
        <f>'Fin Statement'!AA57</f>
        <v/>
      </c>
      <c r="AB19" s="279" t="str">
        <f>'Fin Statement'!AB57</f>
        <v/>
      </c>
      <c r="AC19" s="279" t="str">
        <f>'Fin Statement'!AC57</f>
        <v/>
      </c>
      <c r="AD19" s="279" t="str">
        <f>'Fin Statement'!AD57</f>
        <v/>
      </c>
      <c r="AE19" s="279" t="str">
        <f>'Fin Statement'!AE57</f>
        <v/>
      </c>
      <c r="AF19" s="279"/>
      <c r="AG19" s="279"/>
      <c r="AH19" s="279"/>
      <c r="AI19" s="279"/>
      <c r="AJ19" s="279"/>
    </row>
    <row r="21" spans="3:36" x14ac:dyDescent="0.3">
      <c r="C21" s="44" t="s">
        <v>330</v>
      </c>
      <c r="D21" s="45"/>
      <c r="E21" s="46"/>
    </row>
    <row r="22" spans="3:36" x14ac:dyDescent="0.3">
      <c r="C22" s="47"/>
      <c r="D22" t="s">
        <v>331</v>
      </c>
      <c r="E22" s="143">
        <f>MIN(G18:AJ18)</f>
        <v>0</v>
      </c>
    </row>
    <row r="23" spans="3:36" x14ac:dyDescent="0.3">
      <c r="C23" s="48"/>
      <c r="D23" s="49" t="s">
        <v>332</v>
      </c>
      <c r="E23" s="144">
        <f>MIN(G19:AJ19)</f>
        <v>0</v>
      </c>
    </row>
    <row r="27" spans="3:36" x14ac:dyDescent="0.3">
      <c r="D27" s="72" t="s">
        <v>388</v>
      </c>
      <c r="G27" s="72">
        <f>'Fin Statement'!G32+'Fin Statement'!G34</f>
        <v>2617.6560790903977</v>
      </c>
      <c r="H27" s="72">
        <f>'Fin Statement'!H32+'Fin Statement'!H34</f>
        <v>584.8463346639362</v>
      </c>
      <c r="I27" s="72">
        <f>'Fin Statement'!I32+'Fin Statement'!I34</f>
        <v>463.39798122317279</v>
      </c>
      <c r="J27" s="72">
        <f>'Fin Statement'!J32+'Fin Statement'!J34</f>
        <v>497.24593537865331</v>
      </c>
      <c r="K27" s="72">
        <f>'Fin Statement'!K32+'Fin Statement'!K34</f>
        <v>540.51152288199989</v>
      </c>
      <c r="L27" s="72">
        <f>'Fin Statement'!L32+'Fin Statement'!L34</f>
        <v>558.32909760271605</v>
      </c>
      <c r="M27" s="72">
        <f>'Fin Statement'!M32+'Fin Statement'!M34</f>
        <v>575.98645072343231</v>
      </c>
      <c r="N27" s="72">
        <f>'Fin Statement'!N32+'Fin Statement'!N34</f>
        <v>593.48037781214839</v>
      </c>
      <c r="O27" s="72">
        <f>'Fin Statement'!O32+'Fin Statement'!O34</f>
        <v>610.80761034822467</v>
      </c>
      <c r="P27" s="72">
        <f>'Fin Statement'!P32+'Fin Statement'!P34</f>
        <v>627.96481444060805</v>
      </c>
      <c r="Q27" s="72">
        <f>'Fin Statement'!Q32+'Fin Statement'!Q34</f>
        <v>677.31621809166302</v>
      </c>
      <c r="R27" s="72">
        <f>'Fin Statement'!R32+'Fin Statement'!R34</f>
        <v>726.49072414990019</v>
      </c>
      <c r="S27" s="72">
        <f>'Fin Statement'!S32+'Fin Statement'!S34</f>
        <v>775.48479466346294</v>
      </c>
      <c r="T27" s="72">
        <f>'Fin Statement'!T32+'Fin Statement'!T34</f>
        <v>824.29482092145781</v>
      </c>
      <c r="U27" s="72">
        <f>'Fin Statement'!U32+'Fin Statement'!U34</f>
        <v>872.91712203877353</v>
      </c>
      <c r="V27" s="72">
        <f>'Fin Statement'!V32+'Fin Statement'!V34</f>
        <v>913.73152363570114</v>
      </c>
      <c r="W27" s="72">
        <f>'Fin Statement'!W32+'Fin Statement'!W34</f>
        <v>954.35061599626636</v>
      </c>
      <c r="X27" s="72">
        <f>'Fin Statement'!X32+'Fin Statement'!X34</f>
        <v>994.77049293574123</v>
      </c>
      <c r="Y27" s="72">
        <f>'Fin Statement'!Y32+'Fin Statement'!Y34</f>
        <v>1034.9871701457046</v>
      </c>
      <c r="Z27" s="72">
        <f>'Fin Statement'!Z32+'Fin Statement'!Z34</f>
        <v>1074.9965836315664</v>
      </c>
      <c r="AA27" s="72">
        <f>'Fin Statement'!AA32+'Fin Statement'!AA34</f>
        <v>0</v>
      </c>
      <c r="AB27" s="72">
        <f>'Fin Statement'!AB32+'Fin Statement'!AB34</f>
        <v>0</v>
      </c>
      <c r="AC27" s="72">
        <f>'Fin Statement'!AC32+'Fin Statement'!AC34</f>
        <v>0</v>
      </c>
      <c r="AD27" s="72">
        <f>'Fin Statement'!AD32+'Fin Statement'!AD34</f>
        <v>0</v>
      </c>
      <c r="AE27" s="72">
        <f>'Fin Statement'!AE32+'Fin Statement'!AE34</f>
        <v>0</v>
      </c>
    </row>
    <row r="28" spans="3:36" x14ac:dyDescent="0.3">
      <c r="D28" s="72" t="s">
        <v>389</v>
      </c>
      <c r="G28" s="277">
        <f>G14</f>
        <v>0</v>
      </c>
      <c r="H28" s="277">
        <f t="shared" ref="H28:Z28" si="6">H14</f>
        <v>0</v>
      </c>
      <c r="I28" s="277">
        <f t="shared" si="6"/>
        <v>0</v>
      </c>
      <c r="J28" s="277">
        <f t="shared" si="6"/>
        <v>0</v>
      </c>
      <c r="K28" s="277">
        <f t="shared" si="6"/>
        <v>0</v>
      </c>
      <c r="L28" s="277">
        <f t="shared" si="6"/>
        <v>0</v>
      </c>
      <c r="M28" s="277">
        <f t="shared" si="6"/>
        <v>0</v>
      </c>
      <c r="N28" s="277">
        <f t="shared" si="6"/>
        <v>0</v>
      </c>
      <c r="O28" s="277">
        <f t="shared" si="6"/>
        <v>0</v>
      </c>
      <c r="P28" s="277">
        <f t="shared" si="6"/>
        <v>0</v>
      </c>
      <c r="Q28" s="277">
        <f t="shared" si="6"/>
        <v>0</v>
      </c>
      <c r="R28" s="277">
        <f t="shared" si="6"/>
        <v>0</v>
      </c>
      <c r="S28" s="277">
        <f t="shared" si="6"/>
        <v>0</v>
      </c>
      <c r="T28" s="277">
        <f t="shared" si="6"/>
        <v>0</v>
      </c>
      <c r="U28" s="277">
        <f t="shared" si="6"/>
        <v>0</v>
      </c>
      <c r="V28" s="277">
        <f t="shared" si="6"/>
        <v>0</v>
      </c>
      <c r="W28" s="277">
        <f t="shared" si="6"/>
        <v>0</v>
      </c>
      <c r="X28" s="277">
        <f t="shared" si="6"/>
        <v>0</v>
      </c>
      <c r="Y28" s="277">
        <f t="shared" si="6"/>
        <v>0</v>
      </c>
      <c r="Z28" s="277">
        <f t="shared" si="6"/>
        <v>0</v>
      </c>
      <c r="AA28" s="277">
        <f>AA14</f>
        <v>0</v>
      </c>
      <c r="AB28" s="277">
        <f>AB14</f>
        <v>0</v>
      </c>
      <c r="AC28" s="277">
        <f>AC14</f>
        <v>0</v>
      </c>
      <c r="AD28" s="277">
        <f>AD14</f>
        <v>0</v>
      </c>
      <c r="AE28" s="277">
        <f>AE14</f>
        <v>0</v>
      </c>
    </row>
    <row r="29" spans="3:36" x14ac:dyDescent="0.3">
      <c r="D29" s="72" t="s">
        <v>109</v>
      </c>
      <c r="G29" s="277">
        <f>G13</f>
        <v>0</v>
      </c>
      <c r="H29" s="277">
        <f t="shared" ref="H29:Z29" si="7">H13</f>
        <v>0</v>
      </c>
      <c r="I29" s="277">
        <f t="shared" si="7"/>
        <v>0</v>
      </c>
      <c r="J29" s="277">
        <f t="shared" si="7"/>
        <v>0</v>
      </c>
      <c r="K29" s="277">
        <f t="shared" si="7"/>
        <v>0</v>
      </c>
      <c r="L29" s="277">
        <f t="shared" si="7"/>
        <v>0</v>
      </c>
      <c r="M29" s="277">
        <f t="shared" si="7"/>
        <v>0</v>
      </c>
      <c r="N29" s="277">
        <f t="shared" si="7"/>
        <v>0</v>
      </c>
      <c r="O29" s="277">
        <f t="shared" si="7"/>
        <v>0</v>
      </c>
      <c r="P29" s="277">
        <f t="shared" si="7"/>
        <v>0</v>
      </c>
      <c r="Q29" s="277">
        <f t="shared" si="7"/>
        <v>0</v>
      </c>
      <c r="R29" s="277">
        <f t="shared" si="7"/>
        <v>0</v>
      </c>
      <c r="S29" s="277">
        <f t="shared" si="7"/>
        <v>0</v>
      </c>
      <c r="T29" s="277">
        <f t="shared" si="7"/>
        <v>0</v>
      </c>
      <c r="U29" s="277">
        <f t="shared" si="7"/>
        <v>0</v>
      </c>
      <c r="V29" s="277">
        <f t="shared" si="7"/>
        <v>0</v>
      </c>
      <c r="W29" s="277">
        <f t="shared" si="7"/>
        <v>0</v>
      </c>
      <c r="X29" s="277">
        <f t="shared" si="7"/>
        <v>0</v>
      </c>
      <c r="Y29" s="277">
        <f t="shared" si="7"/>
        <v>0</v>
      </c>
      <c r="Z29" s="277">
        <f t="shared" si="7"/>
        <v>0</v>
      </c>
      <c r="AA29" s="277">
        <f>AA13</f>
        <v>0</v>
      </c>
      <c r="AB29" s="277">
        <f>AB13</f>
        <v>0</v>
      </c>
      <c r="AC29" s="277">
        <f>AC13</f>
        <v>0</v>
      </c>
      <c r="AD29" s="277">
        <f>AD13</f>
        <v>0</v>
      </c>
      <c r="AE29" s="277">
        <f>AE13</f>
        <v>0</v>
      </c>
    </row>
    <row r="30" spans="3:36" x14ac:dyDescent="0.3">
      <c r="D30" s="72" t="s">
        <v>390</v>
      </c>
      <c r="E30" s="72" t="s">
        <v>391</v>
      </c>
      <c r="G30" s="72">
        <f>G27-G15</f>
        <v>2617.6560790903977</v>
      </c>
      <c r="H30" s="72">
        <f t="shared" ref="H30:Z30" si="8">H27-H15</f>
        <v>584.8463346639362</v>
      </c>
      <c r="I30" s="72">
        <f t="shared" si="8"/>
        <v>463.39798122317279</v>
      </c>
      <c r="J30" s="72">
        <f t="shared" si="8"/>
        <v>497.24593537865331</v>
      </c>
      <c r="K30" s="72">
        <f t="shared" si="8"/>
        <v>540.51152288199989</v>
      </c>
      <c r="L30" s="72">
        <f t="shared" si="8"/>
        <v>558.32909760271605</v>
      </c>
      <c r="M30" s="72">
        <f t="shared" si="8"/>
        <v>575.98645072343231</v>
      </c>
      <c r="N30" s="72">
        <f t="shared" si="8"/>
        <v>593.48037781214839</v>
      </c>
      <c r="O30" s="72">
        <f t="shared" si="8"/>
        <v>610.80761034822467</v>
      </c>
      <c r="P30" s="72">
        <f t="shared" si="8"/>
        <v>627.96481444060805</v>
      </c>
      <c r="Q30" s="72">
        <f t="shared" si="8"/>
        <v>677.31621809166302</v>
      </c>
      <c r="R30" s="72">
        <f t="shared" si="8"/>
        <v>726.49072414990019</v>
      </c>
      <c r="S30" s="72">
        <f t="shared" si="8"/>
        <v>775.48479466346294</v>
      </c>
      <c r="T30" s="72">
        <f t="shared" si="8"/>
        <v>824.29482092145781</v>
      </c>
      <c r="U30" s="72">
        <f t="shared" si="8"/>
        <v>872.91712203877353</v>
      </c>
      <c r="V30" s="72">
        <f t="shared" si="8"/>
        <v>913.73152363570114</v>
      </c>
      <c r="W30" s="72">
        <f t="shared" si="8"/>
        <v>954.35061599626636</v>
      </c>
      <c r="X30" s="72">
        <f t="shared" si="8"/>
        <v>994.77049293574123</v>
      </c>
      <c r="Y30" s="72">
        <f t="shared" si="8"/>
        <v>1034.9871701457046</v>
      </c>
      <c r="Z30" s="72">
        <f t="shared" si="8"/>
        <v>1074.9965836315664</v>
      </c>
      <c r="AA30" s="72">
        <f>AA27-AA15</f>
        <v>0</v>
      </c>
      <c r="AB30" s="72">
        <f>AB27-AB15</f>
        <v>0</v>
      </c>
      <c r="AC30" s="72">
        <f>AC27-AC15</f>
        <v>0</v>
      </c>
      <c r="AD30" s="72">
        <f>AD27-AD15</f>
        <v>0</v>
      </c>
      <c r="AE30" s="72">
        <f>AE27-AE15</f>
        <v>0</v>
      </c>
    </row>
  </sheetData>
  <sheetProtection algorithmName="SHA-512" hashValue="mbPjCqi8yMO6tbwZQE0m4jhQcmr1JSncKCDqMvCSgHl1MZ0ihcEn21S82aB7MglvFt9Gcv4Fzx8DMgnmC+wbYw==" saltValue="J1D2OSNtpGlo8//A7mNNDQ==" spinCount="100000" sheet="1" objects="1" scenarios="1" selectLockedCells="1"/>
  <mergeCells count="1">
    <mergeCell ref="A1:AE1"/>
  </mergeCells>
  <pageMargins left="0.7" right="0.7" top="0.75" bottom="0.75" header="0.3" footer="0.3"/>
  <pageSetup paperSize="9" scale="34" firstPageNumber="0"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35A90E7BC03F8D47A83E246AA76F9F4F" ma:contentTypeVersion="20" ma:contentTypeDescription="Create a new document." ma:contentTypeScope="" ma:versionID="18e14599b9724fc979215cd85d0b3977">
  <xsd:schema xmlns:xsd="http://www.w3.org/2001/XMLSchema" xmlns:xs="http://www.w3.org/2001/XMLSchema" xmlns:p="http://schemas.microsoft.com/office/2006/metadata/properties" xmlns:ns2="10693c37-eaa0-4566-8d42-4ba0b57723f7" xmlns:ns3="319d0981-d5c5-4e04-9ab0-ab4126b6a712" targetNamespace="http://schemas.microsoft.com/office/2006/metadata/properties" ma:root="true" ma:fieldsID="9f5fa04c8a000d19b160ca82224b517b" ns2:_="" ns3:_="">
    <xsd:import namespace="10693c37-eaa0-4566-8d42-4ba0b57723f7"/>
    <xsd:import namespace="319d0981-d5c5-4e04-9ab0-ab4126b6a71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0693c37-eaa0-4566-8d42-4ba0b57723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565943e2-49b5-4900-a20b-506b31ea5c72"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19d0981-d5c5-4e04-9ab0-ab4126b6a71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49b3b8a-b23b-485c-b7d8-c2f920bf0038}" ma:internalName="TaxCatchAll" ma:showField="CatchAllData" ma:web="319d0981-d5c5-4e04-9ab0-ab4126b6a71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319d0981-d5c5-4e04-9ab0-ab4126b6a712" xsi:nil="true"/>
    <lcf76f155ced4ddcb4097134ff3c332f xmlns="10693c37-eaa0-4566-8d42-4ba0b57723f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7B9153D-2346-47C3-9BF2-8B97D77D30DC}">
  <ds:schemaRefs>
    <ds:schemaRef ds:uri="http://schemas.microsoft.com/sharepoint/v3/contenttype/forms"/>
  </ds:schemaRefs>
</ds:datastoreItem>
</file>

<file path=customXml/itemProps2.xml><?xml version="1.0" encoding="utf-8"?>
<ds:datastoreItem xmlns:ds="http://schemas.openxmlformats.org/officeDocument/2006/customXml" ds:itemID="{955E6A21-7FE4-48E9-8E52-A659FE26D888}">
  <ds:schemaRefs>
    <ds:schemaRef ds:uri="http://schemas.microsoft.com/DataMashup"/>
  </ds:schemaRefs>
</ds:datastoreItem>
</file>

<file path=customXml/itemProps3.xml><?xml version="1.0" encoding="utf-8"?>
<ds:datastoreItem xmlns:ds="http://schemas.openxmlformats.org/officeDocument/2006/customXml" ds:itemID="{CEEADC70-D993-42D5-A873-4B8549B6A5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0693c37-eaa0-4566-8d42-4ba0b57723f7"/>
    <ds:schemaRef ds:uri="319d0981-d5c5-4e04-9ab0-ab4126b6a7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34625E6-1C02-4877-BFFD-F6FC26826B42}">
  <ds:schemaRefs>
    <ds:schemaRef ds:uri="10693c37-eaa0-4566-8d42-4ba0b57723f7"/>
    <ds:schemaRef ds:uri="http://schemas.microsoft.com/office/2006/metadata/properties"/>
    <ds:schemaRef ds:uri="http://purl.org/dc/elements/1.1/"/>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319d0981-d5c5-4e04-9ab0-ab4126b6a712"/>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15</vt:i4>
      </vt:variant>
      <vt:variant>
        <vt:lpstr>Named Ranges</vt:lpstr>
      </vt:variant>
      <vt:variant>
        <vt:i4>27</vt:i4>
      </vt:variant>
    </vt:vector>
  </HeadingPairs>
  <TitlesOfParts>
    <vt:vector size="42" baseType="lpstr">
      <vt:lpstr>Cover</vt:lpstr>
      <vt:lpstr>Case Descriptions</vt:lpstr>
      <vt:lpstr>Benefits Summary</vt:lpstr>
      <vt:lpstr>Gap Calculator</vt:lpstr>
      <vt:lpstr>Dashboard</vt:lpstr>
      <vt:lpstr>Benefits</vt:lpstr>
      <vt:lpstr>Inputs</vt:lpstr>
      <vt:lpstr>Capacity Values</vt:lpstr>
      <vt:lpstr>Fin Inputs</vt:lpstr>
      <vt:lpstr>IRR</vt:lpstr>
      <vt:lpstr>Rev&amp;Exp</vt:lpstr>
      <vt:lpstr>Fin Statement</vt:lpstr>
      <vt:lpstr>Draws</vt:lpstr>
      <vt:lpstr>Dep-Tax-WC</vt:lpstr>
      <vt:lpstr>Debt</vt:lpstr>
      <vt:lpstr>availability</vt:lpstr>
      <vt:lpstr>durationHrs</vt:lpstr>
      <vt:lpstr>energRating</vt:lpstr>
      <vt:lpstr>ESSCap</vt:lpstr>
      <vt:lpstr>ESSITC</vt:lpstr>
      <vt:lpstr>InputsMatrix</vt:lpstr>
      <vt:lpstr>investmentTerm</vt:lpstr>
      <vt:lpstr>ITC_IntercxnThreshold</vt:lpstr>
      <vt:lpstr>powerRating</vt:lpstr>
      <vt:lpstr>PPAPrice</vt:lpstr>
      <vt:lpstr>Debt!Print_Area</vt:lpstr>
      <vt:lpstr>'Dep-Tax-WC'!Print_Area</vt:lpstr>
      <vt:lpstr>Draws!Print_Area</vt:lpstr>
      <vt:lpstr>'Fin Inputs'!Print_Area</vt:lpstr>
      <vt:lpstr>'Fin Statement'!Print_Area</vt:lpstr>
      <vt:lpstr>IRR!Print_Area</vt:lpstr>
      <vt:lpstr>'Rev&amp;Exp'!Print_Area</vt:lpstr>
      <vt:lpstr>projectStartYear</vt:lpstr>
      <vt:lpstr>QualifiedCapacity</vt:lpstr>
      <vt:lpstr>RECapacityFactor</vt:lpstr>
      <vt:lpstr>REITC</vt:lpstr>
      <vt:lpstr>REPowerRating</vt:lpstr>
      <vt:lpstr>revenueMatrixNew</vt:lpstr>
      <vt:lpstr>RevSummaryMat</vt:lpstr>
      <vt:lpstr>StdConfigDesc</vt:lpstr>
      <vt:lpstr>totalCapitalCost</vt:lpstr>
      <vt:lpstr>WACC</vt:lpstr>
    </vt:vector>
  </TitlesOfParts>
  <Manager/>
  <Company>Windows User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Kasturi Pattalwar</dc:creator>
  <cp:keywords/>
  <dc:description/>
  <cp:lastModifiedBy>Madeline Frierson</cp:lastModifiedBy>
  <cp:revision/>
  <dcterms:created xsi:type="dcterms:W3CDTF">2019-04-23T09:53:01Z</dcterms:created>
  <dcterms:modified xsi:type="dcterms:W3CDTF">2026-07-17T13:52:39Z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0x01010035A90E7BC03F8D47A83E246AA76F9F4F</vt:lpwstr>
  </property>
  <property fmtid="{D5CDD505-2E9C-101B-9397-08002B2CF9AE}" pid="3" name="WorkbookGuid">
    <vt:lpwstr>b629924b-64e6-476d-9631-960dc6de7365</vt:lpwstr>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y fmtid="{D5CDD505-2E9C-101B-9397-08002B2CF9AE}" pid="11" name="{A44787D4-0540-4523-9961-78E4036D8C6D}">
    <vt:lpwstr>{6B7514A4-3048-4F22-AA8B-F1B961C3D564}</vt:lpwstr>
  </property>
</Properties>
</file>